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9735"/>
  </bookViews>
  <sheets>
    <sheet name="CRONOGRAMA" sheetId="1" r:id="rId1"/>
    <sheet name="Plan1" sheetId="2" state="hidden" r:id="rId2"/>
  </sheets>
  <definedNames>
    <definedName name="_xlnm.Print_Area" localSheetId="0">CRONOGRAMA!$A$1:$BC$63</definedName>
    <definedName name="_xlnm.Print_Titles" localSheetId="0">CRONOGRAMA!$1:$28</definedName>
  </definedNames>
  <calcPr calcId="152511"/>
</workbook>
</file>

<file path=xl/calcChain.xml><?xml version="1.0" encoding="utf-8"?>
<calcChain xmlns="http://schemas.openxmlformats.org/spreadsheetml/2006/main">
  <c r="AC45" i="1" l="1"/>
  <c r="AB45" i="1"/>
  <c r="AD49" i="1" l="1"/>
  <c r="AC47" i="1"/>
  <c r="AB47" i="1"/>
  <c r="X39" i="1"/>
  <c r="Y39" i="1"/>
  <c r="Z39" i="1"/>
  <c r="W39" i="1"/>
  <c r="W37" i="1"/>
  <c r="V37" i="1"/>
  <c r="T35" i="1"/>
  <c r="U35" i="1"/>
  <c r="S35" i="1"/>
  <c r="T33" i="1"/>
  <c r="U33" i="1"/>
  <c r="S33" i="1"/>
  <c r="P31" i="1"/>
  <c r="O31" i="1"/>
  <c r="T29" i="1"/>
  <c r="U29" i="1"/>
  <c r="S29" i="1"/>
  <c r="R27" i="1"/>
  <c r="Q27" i="1"/>
  <c r="R25" i="1"/>
  <c r="Q25" i="1"/>
  <c r="T23" i="1"/>
  <c r="S23" i="1"/>
  <c r="N19" i="1"/>
  <c r="O19" i="1"/>
  <c r="P19" i="1"/>
  <c r="M19" i="1"/>
  <c r="Q21" i="1"/>
  <c r="R21" i="1"/>
  <c r="P21" i="1"/>
  <c r="L17" i="1"/>
  <c r="M17" i="1"/>
  <c r="N17" i="1"/>
  <c r="O17" i="1"/>
  <c r="P17" i="1"/>
  <c r="K17" i="1"/>
  <c r="J15" i="1"/>
  <c r="K15" i="1"/>
  <c r="L15" i="1"/>
  <c r="I15" i="1"/>
  <c r="H13" i="1"/>
  <c r="G13" i="1"/>
  <c r="AE45" i="1" l="1"/>
  <c r="AE23" i="1" l="1"/>
  <c r="AE49" i="1"/>
  <c r="AE47" i="1"/>
  <c r="AE43" i="1"/>
  <c r="AE41" i="1"/>
  <c r="AE39" i="1"/>
  <c r="AE37" i="1"/>
  <c r="AE35" i="1"/>
  <c r="AE33" i="1"/>
  <c r="AE31" i="1"/>
  <c r="AE29" i="1"/>
  <c r="AE27" i="1"/>
  <c r="AE25" i="1"/>
  <c r="AE13" i="1" l="1"/>
  <c r="AE15" i="1" l="1"/>
  <c r="AE17" i="1"/>
  <c r="AE19" i="1"/>
  <c r="AE21" i="1"/>
  <c r="H34" i="2"/>
  <c r="N28" i="2"/>
  <c r="N27" i="2"/>
  <c r="N26" i="2"/>
  <c r="H33" i="2"/>
  <c r="L29" i="2"/>
  <c r="M28" i="2"/>
  <c r="M27" i="2"/>
  <c r="M26" i="2"/>
  <c r="R19" i="2"/>
  <c r="K6" i="2"/>
  <c r="J6" i="2"/>
  <c r="J19" i="2" s="1"/>
  <c r="I6" i="2"/>
  <c r="P10" i="2"/>
  <c r="O10" i="2"/>
  <c r="N10" i="2"/>
  <c r="M10" i="2"/>
  <c r="L10" i="2"/>
  <c r="I10" i="2"/>
  <c r="P9" i="2"/>
  <c r="O9" i="2"/>
  <c r="O19" i="2" s="1"/>
  <c r="N9" i="2"/>
  <c r="N19" i="2" s="1"/>
  <c r="M9" i="2"/>
  <c r="L9" i="2"/>
  <c r="I9" i="2"/>
  <c r="H9" i="2"/>
  <c r="H10" i="2"/>
  <c r="H6" i="2"/>
  <c r="K8" i="2"/>
  <c r="I8" i="2"/>
  <c r="H8" i="2"/>
  <c r="Q7" i="2"/>
  <c r="Q19" i="2" s="1"/>
  <c r="K7" i="2"/>
  <c r="I7" i="2"/>
  <c r="H7" i="2"/>
  <c r="AE50" i="1" l="1"/>
  <c r="AE44" i="1" s="1"/>
  <c r="M29" i="2"/>
  <c r="I19" i="2"/>
  <c r="P19" i="2"/>
  <c r="H19" i="2"/>
  <c r="L19" i="2"/>
  <c r="K19" i="2"/>
  <c r="M19" i="2"/>
  <c r="N29" i="2"/>
  <c r="B8" i="2"/>
  <c r="C8" i="2"/>
  <c r="AE28" i="1" l="1"/>
  <c r="AE24" i="1"/>
  <c r="AE32" i="1"/>
  <c r="AE12" i="1"/>
  <c r="AE30" i="1"/>
  <c r="AE26" i="1"/>
  <c r="AE38" i="1"/>
  <c r="AE18" i="1"/>
  <c r="AE34" i="1"/>
  <c r="AE22" i="1"/>
  <c r="AE20" i="1"/>
  <c r="AE42" i="1"/>
  <c r="AE48" i="1"/>
  <c r="AE16" i="1"/>
  <c r="AE46" i="1"/>
  <c r="AE36" i="1"/>
  <c r="AE14" i="1"/>
  <c r="AE40" i="1"/>
  <c r="B12" i="2"/>
  <c r="B13" i="2" s="1"/>
</calcChain>
</file>

<file path=xl/sharedStrings.xml><?xml version="1.0" encoding="utf-8"?>
<sst xmlns="http://schemas.openxmlformats.org/spreadsheetml/2006/main" count="188" uniqueCount="115">
  <si>
    <t>TOTAL</t>
  </si>
  <si>
    <t>ITEM</t>
  </si>
  <si>
    <t>Responsável:</t>
  </si>
  <si>
    <t>Cliente:</t>
  </si>
  <si>
    <t>Projeto:</t>
  </si>
  <si>
    <t>Data:</t>
  </si>
  <si>
    <t>AVENIDA</t>
  </si>
  <si>
    <t>ACESSO</t>
  </si>
  <si>
    <t>EXTENSÃO</t>
  </si>
  <si>
    <t>LARGURA</t>
  </si>
  <si>
    <t>RESPONSÁVEL TÉCNICO:</t>
  </si>
  <si>
    <t>ENGª. CIVIL FLÁVIA CRISTINA BARBOSA - CREA MG 187.842/D</t>
  </si>
  <si>
    <t>ESCAVAÇÃO</t>
  </si>
  <si>
    <t>QUANTIDADE UNITÁRIA</t>
  </si>
  <si>
    <t>DISPOSITIVO</t>
  </si>
  <si>
    <t>MODELO</t>
  </si>
  <si>
    <t>QTDE</t>
  </si>
  <si>
    <t>CONCRETO (m³)</t>
  </si>
  <si>
    <t>FORMAS (m²)</t>
  </si>
  <si>
    <t>PEDRA FIXADA COM CONCRETO (m³) (vazios=40%)</t>
  </si>
  <si>
    <t>ESCAVAÇÃO (m³)</t>
  </si>
  <si>
    <t xml:space="preserve">CIMENTO </t>
  </si>
  <si>
    <t>AREIA</t>
  </si>
  <si>
    <t>BRITA 1 E 2</t>
  </si>
  <si>
    <t>ÁGUA</t>
  </si>
  <si>
    <t>MADEIRA</t>
  </si>
  <si>
    <t>AÇO</t>
  </si>
  <si>
    <t>APILOAMENTO</t>
  </si>
  <si>
    <t>Dissipador de Bueiro</t>
  </si>
  <si>
    <t>DEB 04</t>
  </si>
  <si>
    <t>DNIT</t>
  </si>
  <si>
    <t>DEB 05</t>
  </si>
  <si>
    <t>DEB 03</t>
  </si>
  <si>
    <t>Descida D'água</t>
  </si>
  <si>
    <t>DCD 02</t>
  </si>
  <si>
    <t>DCD 04</t>
  </si>
  <si>
    <t>Boca para Bueiro Simples Tubular de Concreto</t>
  </si>
  <si>
    <t xml:space="preserve">Φ 100 α=30º </t>
  </si>
  <si>
    <t xml:space="preserve">Φ 60 α=30º </t>
  </si>
  <si>
    <t xml:space="preserve">Φ 80 α=30º </t>
  </si>
  <si>
    <t xml:space="preserve">Φ 120 α=30º </t>
  </si>
  <si>
    <t>Poço de Visita</t>
  </si>
  <si>
    <t>PV|02</t>
  </si>
  <si>
    <t>PV|05</t>
  </si>
  <si>
    <t>Caixa Coletora de Sarjeta</t>
  </si>
  <si>
    <t>CCSC 08</t>
  </si>
  <si>
    <t>CCSC 07</t>
  </si>
  <si>
    <t>CCSC 01</t>
  </si>
  <si>
    <t>Caixa Talvegue</t>
  </si>
  <si>
    <t>CCT 01</t>
  </si>
  <si>
    <t>CANAL TRAPEZOIDAL</t>
  </si>
  <si>
    <t>CANAL 1</t>
  </si>
  <si>
    <t>TIPO</t>
  </si>
  <si>
    <t>B</t>
  </si>
  <si>
    <t>Z</t>
  </si>
  <si>
    <t>H</t>
  </si>
  <si>
    <t xml:space="preserve">ESCAVAÇÃO </t>
  </si>
  <si>
    <t>PEDRA</t>
  </si>
  <si>
    <t>CANAL 2</t>
  </si>
  <si>
    <t>CANAL 3</t>
  </si>
  <si>
    <t>BACIA DISSIPAÇÃO</t>
  </si>
  <si>
    <t>M³</t>
  </si>
  <si>
    <t>M3</t>
  </si>
  <si>
    <t>UNIDADE</t>
  </si>
  <si>
    <t>SERVIÇOS</t>
  </si>
  <si>
    <t>%</t>
  </si>
  <si>
    <t>R$</t>
  </si>
  <si>
    <t xml:space="preserve">CRONOGRAMA FÍSICO-FINANCEIRO DE OBRA </t>
  </si>
  <si>
    <t>SERVIÇOS PRELIMINARES</t>
  </si>
  <si>
    <t>INFRAESTRUTURA</t>
  </si>
  <si>
    <r>
      <t xml:space="preserve">1ª ETAPA   PERÍODO:      </t>
    </r>
    <r>
      <rPr>
        <b/>
        <sz val="12"/>
        <color theme="9" tint="-0.249977111117893"/>
        <rFont val="Verdana"/>
        <family val="2"/>
      </rPr>
      <t>30 DIAS</t>
    </r>
    <r>
      <rPr>
        <b/>
        <sz val="12"/>
        <color theme="1"/>
        <rFont val="Verdana"/>
        <family val="2"/>
      </rPr>
      <t xml:space="preserve"> </t>
    </r>
  </si>
  <si>
    <r>
      <t xml:space="preserve">2ª ETAPA   PERÍODO:      </t>
    </r>
    <r>
      <rPr>
        <b/>
        <sz val="12"/>
        <color theme="9" tint="-0.249977111117893"/>
        <rFont val="Verdana"/>
        <family val="2"/>
      </rPr>
      <t>30 DIAS</t>
    </r>
    <r>
      <rPr>
        <b/>
        <sz val="12"/>
        <color theme="1"/>
        <rFont val="Verdana"/>
        <family val="2"/>
      </rPr>
      <t xml:space="preserve"> </t>
    </r>
  </si>
  <si>
    <r>
      <t xml:space="preserve">3ª ETAPA   PERÍODO:        </t>
    </r>
    <r>
      <rPr>
        <b/>
        <sz val="12"/>
        <color theme="9" tint="-0.249977111117893"/>
        <rFont val="Verdana"/>
        <family val="2"/>
      </rPr>
      <t>30 DIAS</t>
    </r>
    <r>
      <rPr>
        <b/>
        <sz val="12"/>
        <color theme="1"/>
        <rFont val="Verdana"/>
        <family val="2"/>
      </rPr>
      <t xml:space="preserve"> </t>
    </r>
  </si>
  <si>
    <r>
      <t xml:space="preserve">4ª ETAPA   PERÍODO:      </t>
    </r>
    <r>
      <rPr>
        <b/>
        <sz val="12"/>
        <color theme="9" tint="-0.249977111117893"/>
        <rFont val="Verdana"/>
        <family val="2"/>
      </rPr>
      <t>30 DIAS</t>
    </r>
    <r>
      <rPr>
        <b/>
        <sz val="12"/>
        <color theme="1"/>
        <rFont val="Verdana"/>
        <family val="2"/>
      </rPr>
      <t xml:space="preserve"> </t>
    </r>
  </si>
  <si>
    <r>
      <t xml:space="preserve">5ª ETAPA   PERÍODO:      </t>
    </r>
    <r>
      <rPr>
        <b/>
        <sz val="12"/>
        <color theme="9" tint="-0.249977111117893"/>
        <rFont val="Verdana"/>
        <family val="2"/>
      </rPr>
      <t>30 DIAS</t>
    </r>
    <r>
      <rPr>
        <b/>
        <sz val="12"/>
        <color theme="1"/>
        <rFont val="Verdana"/>
        <family val="2"/>
      </rPr>
      <t xml:space="preserve"> </t>
    </r>
  </si>
  <si>
    <r>
      <t xml:space="preserve">6ª ETAPA   PERÍODO:      </t>
    </r>
    <r>
      <rPr>
        <b/>
        <sz val="12"/>
        <color theme="9" tint="-0.249977111117893"/>
        <rFont val="Verdana"/>
        <family val="2"/>
      </rPr>
      <t>30 DIAS</t>
    </r>
    <r>
      <rPr>
        <b/>
        <sz val="12"/>
        <color theme="1"/>
        <rFont val="Verdana"/>
        <family val="2"/>
      </rPr>
      <t xml:space="preserve"> </t>
    </r>
  </si>
  <si>
    <r>
      <t xml:space="preserve">7ª ETAPA   PERÍODO:      </t>
    </r>
    <r>
      <rPr>
        <b/>
        <sz val="12"/>
        <color theme="9" tint="-0.249977111117893"/>
        <rFont val="Verdana"/>
        <family val="2"/>
      </rPr>
      <t>30 DIAS</t>
    </r>
    <r>
      <rPr>
        <b/>
        <sz val="12"/>
        <color theme="1"/>
        <rFont val="Verdana"/>
        <family val="2"/>
      </rPr>
      <t xml:space="preserve"> </t>
    </r>
  </si>
  <si>
    <r>
      <t>8ª ETAPA   PERÍODO:</t>
    </r>
    <r>
      <rPr>
        <b/>
        <sz val="12"/>
        <color theme="9" tint="-0.249977111117893"/>
        <rFont val="Verdana"/>
        <family val="2"/>
      </rPr>
      <t>30 DIAS</t>
    </r>
    <r>
      <rPr>
        <b/>
        <sz val="12"/>
        <color theme="1"/>
        <rFont val="Verdana"/>
        <family val="2"/>
      </rPr>
      <t xml:space="preserve"> </t>
    </r>
  </si>
  <si>
    <r>
      <t xml:space="preserve">9ª ETAPA   PERÍODO:      </t>
    </r>
    <r>
      <rPr>
        <b/>
        <sz val="12"/>
        <color theme="9" tint="-0.249977111117893"/>
        <rFont val="Verdana"/>
        <family val="2"/>
      </rPr>
      <t>30 DIAS</t>
    </r>
    <r>
      <rPr>
        <b/>
        <sz val="12"/>
        <color theme="1"/>
        <rFont val="Verdana"/>
        <family val="2"/>
      </rPr>
      <t xml:space="preserve"> </t>
    </r>
  </si>
  <si>
    <r>
      <t xml:space="preserve">11ª ETAPA   PERÍODO:      </t>
    </r>
    <r>
      <rPr>
        <b/>
        <sz val="12"/>
        <color theme="9" tint="-0.249977111117893"/>
        <rFont val="Verdana"/>
        <family val="2"/>
      </rPr>
      <t>30 DIAS</t>
    </r>
    <r>
      <rPr>
        <b/>
        <sz val="12"/>
        <color theme="1"/>
        <rFont val="Verdana"/>
        <family val="2"/>
      </rPr>
      <t xml:space="preserve"> </t>
    </r>
  </si>
  <si>
    <r>
      <t xml:space="preserve">10ª ETAPA   PERÍODO: </t>
    </r>
    <r>
      <rPr>
        <b/>
        <sz val="12"/>
        <color theme="9" tint="-0.249977111117893"/>
        <rFont val="Verdana"/>
        <family val="2"/>
      </rPr>
      <t>30 DIAS</t>
    </r>
    <r>
      <rPr>
        <b/>
        <sz val="12"/>
        <color theme="1"/>
        <rFont val="Verdana"/>
        <family val="2"/>
      </rPr>
      <t xml:space="preserve"> </t>
    </r>
  </si>
  <si>
    <t>PROJETOS COMPLEMENTARES PARA EXECUÇÃO DA UNIDADE DE PRONTO ATENDIMENTO PORTE 2</t>
  </si>
  <si>
    <t>ESTRUTURA DE CONCRETO</t>
  </si>
  <si>
    <t>ALVENARIA</t>
  </si>
  <si>
    <t>COBERTURA</t>
  </si>
  <si>
    <t>ÁGUA FRIA</t>
  </si>
  <si>
    <t>ESGOTO</t>
  </si>
  <si>
    <t>INSTALAÇÃO ELÉTRICA</t>
  </si>
  <si>
    <t>ESQUADRIA</t>
  </si>
  <si>
    <t>REVESTIMENTO</t>
  </si>
  <si>
    <t>PISO</t>
  </si>
  <si>
    <t>LOUÇAS E METAIS</t>
  </si>
  <si>
    <t>PINTURA</t>
  </si>
  <si>
    <t>COMBATE A INCÊNDIO</t>
  </si>
  <si>
    <t>SPDA</t>
  </si>
  <si>
    <t>SERVIÇOS COMPLEMENTARES</t>
  </si>
  <si>
    <r>
      <t xml:space="preserve">12ª ETAPA   PERÍODO:      </t>
    </r>
    <r>
      <rPr>
        <b/>
        <sz val="12"/>
        <color theme="9" tint="-0.249977111117893"/>
        <rFont val="Verdana"/>
        <family val="2"/>
      </rPr>
      <t>30 DIAS</t>
    </r>
    <r>
      <rPr>
        <b/>
        <sz val="12"/>
        <color theme="1"/>
        <rFont val="Verdana"/>
        <family val="2"/>
      </rPr>
      <t xml:space="preserve"> </t>
    </r>
  </si>
  <si>
    <r>
      <t xml:space="preserve">13ª ETAPA   PERÍODO:      </t>
    </r>
    <r>
      <rPr>
        <b/>
        <sz val="12"/>
        <color theme="9" tint="-0.249977111117893"/>
        <rFont val="Verdana"/>
        <family val="2"/>
      </rPr>
      <t>30 DIAS</t>
    </r>
    <r>
      <rPr>
        <b/>
        <sz val="12"/>
        <color theme="1"/>
        <rFont val="Verdana"/>
        <family val="2"/>
      </rPr>
      <t xml:space="preserve"> </t>
    </r>
  </si>
  <si>
    <r>
      <t xml:space="preserve">14ª ETAPA   PERÍODO:      </t>
    </r>
    <r>
      <rPr>
        <b/>
        <sz val="12"/>
        <color theme="9" tint="-0.249977111117893"/>
        <rFont val="Verdana"/>
        <family val="2"/>
      </rPr>
      <t>30 DIAS</t>
    </r>
    <r>
      <rPr>
        <b/>
        <sz val="12"/>
        <color theme="1"/>
        <rFont val="Verdana"/>
        <family val="2"/>
      </rPr>
      <t xml:space="preserve"> </t>
    </r>
  </si>
  <si>
    <r>
      <t xml:space="preserve">15ª ETAPA   PERÍODO:      </t>
    </r>
    <r>
      <rPr>
        <b/>
        <sz val="12"/>
        <color theme="9" tint="-0.249977111117893"/>
        <rFont val="Verdana"/>
        <family val="2"/>
      </rPr>
      <t>30 DIAS</t>
    </r>
    <r>
      <rPr>
        <b/>
        <sz val="12"/>
        <color theme="1"/>
        <rFont val="Verdana"/>
        <family val="2"/>
      </rPr>
      <t xml:space="preserve"> </t>
    </r>
  </si>
  <si>
    <r>
      <t xml:space="preserve">16ª ETAPA   PERÍODO:      </t>
    </r>
    <r>
      <rPr>
        <b/>
        <sz val="12"/>
        <color theme="9" tint="-0.249977111117893"/>
        <rFont val="Verdana"/>
        <family val="2"/>
      </rPr>
      <t>30 DIAS</t>
    </r>
    <r>
      <rPr>
        <b/>
        <sz val="12"/>
        <color theme="1"/>
        <rFont val="Verdana"/>
        <family val="2"/>
      </rPr>
      <t xml:space="preserve"> </t>
    </r>
  </si>
  <si>
    <r>
      <t xml:space="preserve">17ª ETAPA   PERÍODO:      </t>
    </r>
    <r>
      <rPr>
        <b/>
        <sz val="12"/>
        <color theme="9" tint="-0.249977111117893"/>
        <rFont val="Verdana"/>
        <family val="2"/>
      </rPr>
      <t>30 DIAS</t>
    </r>
    <r>
      <rPr>
        <b/>
        <sz val="12"/>
        <color theme="1"/>
        <rFont val="Verdana"/>
        <family val="2"/>
      </rPr>
      <t xml:space="preserve"> </t>
    </r>
  </si>
  <si>
    <r>
      <t xml:space="preserve">18ª ETAPA   PERÍODO:      </t>
    </r>
    <r>
      <rPr>
        <b/>
        <sz val="12"/>
        <color theme="9" tint="-0.249977111117893"/>
        <rFont val="Verdana"/>
        <family val="2"/>
      </rPr>
      <t>30 DIAS</t>
    </r>
    <r>
      <rPr>
        <b/>
        <sz val="12"/>
        <color theme="1"/>
        <rFont val="Verdana"/>
        <family val="2"/>
      </rPr>
      <t xml:space="preserve"> </t>
    </r>
  </si>
  <si>
    <r>
      <t xml:space="preserve">19ª ETAPA   PERÍODO:      </t>
    </r>
    <r>
      <rPr>
        <b/>
        <sz val="12"/>
        <color theme="9" tint="-0.249977111117893"/>
        <rFont val="Verdana"/>
        <family val="2"/>
      </rPr>
      <t>30 DIAS</t>
    </r>
    <r>
      <rPr>
        <b/>
        <sz val="12"/>
        <color theme="1"/>
        <rFont val="Verdana"/>
        <family val="2"/>
      </rPr>
      <t xml:space="preserve"> </t>
    </r>
  </si>
  <si>
    <r>
      <t xml:space="preserve">20ª ETAPA   PERÍODO:      </t>
    </r>
    <r>
      <rPr>
        <b/>
        <sz val="12"/>
        <color theme="9" tint="-0.249977111117893"/>
        <rFont val="Verdana"/>
        <family val="2"/>
      </rPr>
      <t>30 DIAS</t>
    </r>
    <r>
      <rPr>
        <b/>
        <sz val="12"/>
        <color theme="1"/>
        <rFont val="Verdana"/>
        <family val="2"/>
      </rPr>
      <t xml:space="preserve"> </t>
    </r>
  </si>
  <si>
    <r>
      <t xml:space="preserve">21ª ETAPA   PERÍODO:      </t>
    </r>
    <r>
      <rPr>
        <b/>
        <sz val="12"/>
        <color theme="9" tint="-0.249977111117893"/>
        <rFont val="Verdana"/>
        <family val="2"/>
      </rPr>
      <t>30 DIAS</t>
    </r>
    <r>
      <rPr>
        <b/>
        <sz val="12"/>
        <color theme="1"/>
        <rFont val="Verdana"/>
        <family val="2"/>
      </rPr>
      <t xml:space="preserve"> </t>
    </r>
  </si>
  <si>
    <r>
      <t xml:space="preserve">22ª ETAPA   PERÍODO:      </t>
    </r>
    <r>
      <rPr>
        <b/>
        <sz val="12"/>
        <color theme="9" tint="-0.249977111117893"/>
        <rFont val="Verdana"/>
        <family val="2"/>
      </rPr>
      <t>30 DIAS</t>
    </r>
    <r>
      <rPr>
        <b/>
        <sz val="12"/>
        <color theme="1"/>
        <rFont val="Verdana"/>
        <family val="2"/>
      </rPr>
      <t xml:space="preserve"> </t>
    </r>
  </si>
  <si>
    <r>
      <t xml:space="preserve">23ª ETAPA   PERÍODO:      </t>
    </r>
    <r>
      <rPr>
        <b/>
        <sz val="12"/>
        <color theme="9" tint="-0.249977111117893"/>
        <rFont val="Verdana"/>
        <family val="2"/>
      </rPr>
      <t>30 DIAS</t>
    </r>
    <r>
      <rPr>
        <b/>
        <sz val="12"/>
        <color theme="1"/>
        <rFont val="Verdana"/>
        <family val="2"/>
      </rPr>
      <t xml:space="preserve"> </t>
    </r>
  </si>
  <si>
    <r>
      <t xml:space="preserve">24ª ETAPA   PERÍODO:      </t>
    </r>
    <r>
      <rPr>
        <b/>
        <sz val="12"/>
        <color theme="9" tint="-0.249977111117893"/>
        <rFont val="Verdana"/>
        <family val="2"/>
      </rPr>
      <t>30 DIAS</t>
    </r>
    <r>
      <rPr>
        <b/>
        <sz val="12"/>
        <color theme="1"/>
        <rFont val="Verdana"/>
        <family val="2"/>
      </rPr>
      <t xml:space="preserve"> </t>
    </r>
  </si>
  <si>
    <t>ÁGUA PLUVIAL</t>
  </si>
  <si>
    <t>EXECUÇÃO DA UPA</t>
  </si>
  <si>
    <t>LÓGICA E TELEFONIA / GASES MEDICINAIS</t>
  </si>
  <si>
    <t>PROJETO DE AR CONDICIONADO</t>
  </si>
  <si>
    <t>R04</t>
  </si>
  <si>
    <t>BDI: 31,29%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</si>
</sst>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R$-416]\ * #,##0.00_-;\-[$R$-416]\ * #,##0.00_-;_-[$R$-416]\ * &quot;-&quot;??_-;_-@_-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b/>
      <sz val="16"/>
      <color theme="1"/>
      <name val="Verdana"/>
      <family val="2"/>
    </font>
    <font>
      <b/>
      <sz val="18"/>
      <color theme="1"/>
      <name val="Verdana"/>
      <family val="2"/>
    </font>
    <font>
      <sz val="11"/>
      <color theme="1"/>
      <name val="Calibri"/>
      <family val="2"/>
    </font>
    <font>
      <b/>
      <sz val="12"/>
      <color theme="9" tint="-0.249977111117893"/>
      <name val="Verdana"/>
      <family val="2"/>
    </font>
    <font>
      <sz val="14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/>
      <bottom/>
      <diagonal/>
    </border>
    <border>
      <left/>
      <right/>
      <top style="thin">
        <color theme="9" tint="-0.24994659260841701"/>
      </top>
      <bottom/>
      <diagonal/>
    </border>
    <border>
      <left/>
      <right/>
      <top/>
      <bottom style="thick">
        <color theme="9" tint="-0.2499465926084170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/>
      <right/>
      <top/>
      <bottom style="thin">
        <color theme="9" tint="-0.2499465926084170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0" xfId="0" quotePrefix="1" applyFont="1" applyAlignment="1">
      <alignment horizontal="center" vertical="center" wrapText="1"/>
    </xf>
    <xf numFmtId="14" fontId="2" fillId="0" borderId="2" xfId="0" applyNumberFormat="1" applyFont="1" applyBorder="1" applyAlignment="1">
      <alignment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0" fillId="0" borderId="6" xfId="0" applyBorder="1"/>
    <xf numFmtId="0" fontId="0" fillId="0" borderId="7" xfId="0" applyBorder="1"/>
    <xf numFmtId="0" fontId="0" fillId="0" borderId="6" xfId="0" applyBorder="1" applyAlignment="1">
      <alignment horizontal="center"/>
    </xf>
    <xf numFmtId="0" fontId="0" fillId="0" borderId="6" xfId="0" applyBorder="1" applyAlignment="1"/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802818</xdr:colOff>
      <xdr:row>2</xdr:row>
      <xdr:rowOff>95250</xdr:rowOff>
    </xdr:from>
    <xdr:to>
      <xdr:col>7</xdr:col>
      <xdr:colOff>53735</xdr:colOff>
      <xdr:row>7</xdr:row>
      <xdr:rowOff>78750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98568" y="653143"/>
          <a:ext cx="2693524" cy="936000"/>
        </a:xfrm>
        <a:prstGeom prst="rect">
          <a:avLst/>
        </a:prstGeom>
      </xdr:spPr>
    </xdr:pic>
    <xdr:clientData/>
  </xdr:twoCellAnchor>
  <xdr:twoCellAnchor editAs="oneCell">
    <xdr:from>
      <xdr:col>30</xdr:col>
      <xdr:colOff>0</xdr:colOff>
      <xdr:row>2</xdr:row>
      <xdr:rowOff>122465</xdr:rowOff>
    </xdr:from>
    <xdr:to>
      <xdr:col>30</xdr:col>
      <xdr:colOff>1368597</xdr:colOff>
      <xdr:row>6</xdr:row>
      <xdr:rowOff>80465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549854" y="680358"/>
          <a:ext cx="1359525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20"/>
  <sheetViews>
    <sheetView showGridLines="0" tabSelected="1" showWhiteSpace="0" view="pageBreakPreview" topLeftCell="T1" zoomScale="70" zoomScaleNormal="70" zoomScaleSheetLayoutView="70" zoomScalePageLayoutView="55" workbookViewId="0">
      <selection activeCell="A10" sqref="A10:AE10"/>
    </sheetView>
  </sheetViews>
  <sheetFormatPr defaultColWidth="0" defaultRowHeight="15" zeroHeight="1" x14ac:dyDescent="0.25"/>
  <cols>
    <col min="1" max="1" width="10.28515625" style="1" customWidth="1"/>
    <col min="2" max="2" width="15.85546875" style="1" customWidth="1"/>
    <col min="3" max="3" width="20.5703125" style="1" customWidth="1"/>
    <col min="4" max="6" width="15.42578125" style="1" customWidth="1"/>
    <col min="7" max="7" width="20.5703125" style="1" customWidth="1"/>
    <col min="8" max="8" width="18.7109375" style="1" customWidth="1"/>
    <col min="9" max="9" width="20.85546875" style="1" customWidth="1"/>
    <col min="10" max="15" width="16.7109375" style="1" customWidth="1"/>
    <col min="16" max="16" width="18.5703125" style="1" customWidth="1"/>
    <col min="17" max="18" width="21.140625" style="1" customWidth="1"/>
    <col min="19" max="20" width="19.85546875" style="1" customWidth="1"/>
    <col min="21" max="22" width="18.7109375" style="1" customWidth="1"/>
    <col min="23" max="24" width="20.140625" style="1" customWidth="1"/>
    <col min="25" max="30" width="21.5703125" style="1" customWidth="1"/>
    <col min="31" max="31" width="25.85546875" style="1" customWidth="1"/>
    <col min="32" max="39" width="14.7109375" style="1" hidden="1" customWidth="1"/>
    <col min="40" max="16384" width="9.140625" style="1" hidden="1"/>
  </cols>
  <sheetData>
    <row r="1" spans="1:32" ht="15" customHeight="1" x14ac:dyDescent="0.25">
      <c r="AE1" s="5" t="s">
        <v>113</v>
      </c>
    </row>
    <row r="2" spans="1:32" ht="30" customHeight="1" thickBot="1" x14ac:dyDescent="0.3">
      <c r="A2" s="45" t="s">
        <v>67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"/>
    </row>
    <row r="3" spans="1:32" ht="15" customHeight="1" thickTop="1" x14ac:dyDescent="0.25">
      <c r="A3" s="48" t="s">
        <v>4</v>
      </c>
      <c r="B3" s="48"/>
      <c r="C3" s="48"/>
      <c r="E3" s="48" t="s">
        <v>3</v>
      </c>
      <c r="F3" s="48"/>
      <c r="G3" s="48"/>
      <c r="H3" s="8"/>
      <c r="I3" s="8"/>
      <c r="P3" s="48" t="s">
        <v>2</v>
      </c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</row>
    <row r="4" spans="1:32" x14ac:dyDescent="0.25">
      <c r="A4" s="49" t="s">
        <v>110</v>
      </c>
      <c r="B4" s="49"/>
      <c r="C4" s="49"/>
      <c r="E4" s="50"/>
      <c r="F4" s="50"/>
      <c r="G4" s="50"/>
      <c r="H4" s="9"/>
      <c r="I4" s="9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</row>
    <row r="5" spans="1:32" x14ac:dyDescent="0.25">
      <c r="A5" s="49"/>
      <c r="B5" s="49"/>
      <c r="C5" s="49"/>
      <c r="E5" s="50"/>
      <c r="F5" s="50"/>
      <c r="G5" s="50"/>
      <c r="H5" s="9"/>
      <c r="I5" s="9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</row>
    <row r="6" spans="1:32" x14ac:dyDescent="0.25">
      <c r="A6" s="49"/>
      <c r="B6" s="49"/>
      <c r="C6" s="49"/>
      <c r="E6" s="50"/>
      <c r="F6" s="50"/>
      <c r="G6" s="50"/>
      <c r="H6" s="9"/>
      <c r="I6" s="9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</row>
    <row r="7" spans="1:32" x14ac:dyDescent="0.25">
      <c r="A7" s="2"/>
      <c r="B7" s="2"/>
      <c r="C7" s="2"/>
      <c r="E7" s="2"/>
      <c r="F7" s="2"/>
      <c r="G7" s="2"/>
      <c r="H7" s="9"/>
      <c r="I7" s="9"/>
      <c r="P7" s="12"/>
      <c r="Q7" s="30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12"/>
    </row>
    <row r="8" spans="1:32" ht="15" customHeight="1" x14ac:dyDescent="0.25">
      <c r="A8" s="47" t="s">
        <v>5</v>
      </c>
      <c r="B8" s="47"/>
      <c r="C8" s="7">
        <v>43402</v>
      </c>
      <c r="D8" s="6"/>
      <c r="E8" s="2"/>
      <c r="P8" s="51" t="s">
        <v>114</v>
      </c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</row>
    <row r="9" spans="1:32" ht="15" customHeight="1" x14ac:dyDescent="0.25">
      <c r="A9" s="3"/>
      <c r="B9" s="3"/>
      <c r="C9" s="2"/>
      <c r="E9" s="2"/>
      <c r="F9" s="2"/>
      <c r="G9" s="2"/>
      <c r="H9" s="9"/>
      <c r="I9" s="9"/>
      <c r="P9" s="53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</row>
    <row r="10" spans="1:32" ht="36.75" customHeight="1" x14ac:dyDescent="0.25">
      <c r="A10" s="46" t="s">
        <v>81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</row>
    <row r="11" spans="1:32" ht="55.5" customHeight="1" x14ac:dyDescent="0.25">
      <c r="A11" s="25" t="s">
        <v>1</v>
      </c>
      <c r="B11" s="55" t="s">
        <v>64</v>
      </c>
      <c r="C11" s="55"/>
      <c r="D11" s="55"/>
      <c r="E11" s="55"/>
      <c r="F11" s="25" t="s">
        <v>63</v>
      </c>
      <c r="G11" s="25" t="s">
        <v>70</v>
      </c>
      <c r="H11" s="25" t="s">
        <v>71</v>
      </c>
      <c r="I11" s="25" t="s">
        <v>72</v>
      </c>
      <c r="J11" s="25" t="s">
        <v>73</v>
      </c>
      <c r="K11" s="29" t="s">
        <v>74</v>
      </c>
      <c r="L11" s="29" t="s">
        <v>75</v>
      </c>
      <c r="M11" s="29" t="s">
        <v>76</v>
      </c>
      <c r="N11" s="29" t="s">
        <v>77</v>
      </c>
      <c r="O11" s="29" t="s">
        <v>78</v>
      </c>
      <c r="P11" s="29" t="s">
        <v>80</v>
      </c>
      <c r="Q11" s="29" t="s">
        <v>79</v>
      </c>
      <c r="R11" s="34" t="s">
        <v>96</v>
      </c>
      <c r="S11" s="34" t="s">
        <v>97</v>
      </c>
      <c r="T11" s="34" t="s">
        <v>98</v>
      </c>
      <c r="U11" s="34" t="s">
        <v>99</v>
      </c>
      <c r="V11" s="34" t="s">
        <v>100</v>
      </c>
      <c r="W11" s="36" t="s">
        <v>101</v>
      </c>
      <c r="X11" s="36" t="s">
        <v>102</v>
      </c>
      <c r="Y11" s="36" t="s">
        <v>103</v>
      </c>
      <c r="Z11" s="36" t="s">
        <v>104</v>
      </c>
      <c r="AA11" s="36" t="s">
        <v>105</v>
      </c>
      <c r="AB11" s="36" t="s">
        <v>106</v>
      </c>
      <c r="AC11" s="36" t="s">
        <v>107</v>
      </c>
      <c r="AD11" s="36" t="s">
        <v>108</v>
      </c>
      <c r="AE11" s="25" t="s">
        <v>0</v>
      </c>
    </row>
    <row r="12" spans="1:32" ht="31.5" customHeight="1" x14ac:dyDescent="0.25">
      <c r="A12" s="41">
        <v>1</v>
      </c>
      <c r="B12" s="43" t="s">
        <v>68</v>
      </c>
      <c r="C12" s="43"/>
      <c r="D12" s="43"/>
      <c r="E12" s="43"/>
      <c r="F12" s="22" t="s">
        <v>65</v>
      </c>
      <c r="G12" s="27">
        <v>50</v>
      </c>
      <c r="H12" s="27">
        <v>50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27">
        <f>SUM(G13:AD13)/$AE$50*100</f>
        <v>11.050441766494709</v>
      </c>
    </row>
    <row r="13" spans="1:32" ht="31.5" customHeight="1" x14ac:dyDescent="0.25">
      <c r="A13" s="56"/>
      <c r="B13" s="58"/>
      <c r="C13" s="58"/>
      <c r="D13" s="58"/>
      <c r="E13" s="58"/>
      <c r="F13" s="23" t="s">
        <v>66</v>
      </c>
      <c r="G13" s="28">
        <f>(463403.29+1463.62)/2</f>
        <v>232433.45499999999</v>
      </c>
      <c r="H13" s="28">
        <f>(463403.29+1463.62)/2</f>
        <v>232433.45499999999</v>
      </c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>
        <f>SUM(G13:AD13)</f>
        <v>464866.91</v>
      </c>
    </row>
    <row r="14" spans="1:32" ht="31.5" customHeight="1" x14ac:dyDescent="0.25">
      <c r="A14" s="41">
        <v>2</v>
      </c>
      <c r="B14" s="43" t="s">
        <v>69</v>
      </c>
      <c r="C14" s="43"/>
      <c r="D14" s="43"/>
      <c r="E14" s="43"/>
      <c r="F14" s="24" t="s">
        <v>65</v>
      </c>
      <c r="I14" s="27">
        <v>25</v>
      </c>
      <c r="J14" s="27">
        <v>25</v>
      </c>
      <c r="K14" s="27">
        <v>25</v>
      </c>
      <c r="L14" s="27">
        <v>25</v>
      </c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7">
        <f>SUM(G15:AD15)/$AE$50*100</f>
        <v>19.075399276791831</v>
      </c>
    </row>
    <row r="15" spans="1:32" ht="31.5" customHeight="1" x14ac:dyDescent="0.25">
      <c r="A15" s="56"/>
      <c r="B15" s="58"/>
      <c r="C15" s="58"/>
      <c r="D15" s="58"/>
      <c r="E15" s="58"/>
      <c r="F15" s="23" t="s">
        <v>66</v>
      </c>
      <c r="G15" s="28"/>
      <c r="H15" s="28"/>
      <c r="I15" s="28">
        <f>(769779.49+32679.1)/4</f>
        <v>200614.64749999999</v>
      </c>
      <c r="J15" s="28">
        <f t="shared" ref="J15:L15" si="0">(769779.49+32679.1)/4</f>
        <v>200614.64749999999</v>
      </c>
      <c r="K15" s="28">
        <f t="shared" si="0"/>
        <v>200614.64749999999</v>
      </c>
      <c r="L15" s="28">
        <f t="shared" si="0"/>
        <v>200614.64749999999</v>
      </c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>
        <f>SUM(G15:AD15)</f>
        <v>802458.59</v>
      </c>
    </row>
    <row r="16" spans="1:32" ht="31.5" customHeight="1" x14ac:dyDescent="0.25">
      <c r="A16" s="41">
        <v>3</v>
      </c>
      <c r="B16" s="43" t="s">
        <v>82</v>
      </c>
      <c r="C16" s="43"/>
      <c r="D16" s="43"/>
      <c r="E16" s="43"/>
      <c r="F16" s="24" t="s">
        <v>65</v>
      </c>
      <c r="G16" s="26"/>
      <c r="H16" s="26"/>
      <c r="J16" s="26"/>
      <c r="K16" s="27">
        <v>16.670000000000002</v>
      </c>
      <c r="L16" s="27">
        <v>16.670000000000002</v>
      </c>
      <c r="M16" s="27">
        <v>16.670000000000002</v>
      </c>
      <c r="N16" s="27">
        <v>16.670000000000002</v>
      </c>
      <c r="O16" s="27">
        <v>16.670000000000002</v>
      </c>
      <c r="P16" s="27">
        <v>16.670000000000002</v>
      </c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7">
        <f>SUM(G17:AD17)/$AE$50*100</f>
        <v>14.419004976875168</v>
      </c>
    </row>
    <row r="17" spans="1:31" ht="31.5" customHeight="1" x14ac:dyDescent="0.25">
      <c r="A17" s="56"/>
      <c r="B17" s="58"/>
      <c r="C17" s="58"/>
      <c r="D17" s="58"/>
      <c r="E17" s="58"/>
      <c r="F17" s="23" t="s">
        <v>66</v>
      </c>
      <c r="G17" s="28"/>
      <c r="H17" s="28"/>
      <c r="I17" s="28"/>
      <c r="J17" s="28"/>
      <c r="K17" s="28">
        <f>(556483.46+50091.23)/6</f>
        <v>101095.78166666666</v>
      </c>
      <c r="L17" s="28">
        <f t="shared" ref="L17:P17" si="1">(556483.46+50091.23)/6</f>
        <v>101095.78166666666</v>
      </c>
      <c r="M17" s="28">
        <f t="shared" si="1"/>
        <v>101095.78166666666</v>
      </c>
      <c r="N17" s="28">
        <f t="shared" si="1"/>
        <v>101095.78166666666</v>
      </c>
      <c r="O17" s="28">
        <f t="shared" si="1"/>
        <v>101095.78166666666</v>
      </c>
      <c r="P17" s="28">
        <f t="shared" si="1"/>
        <v>101095.78166666666</v>
      </c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>
        <f>SUM(G17:AD17)</f>
        <v>606574.68999999994</v>
      </c>
    </row>
    <row r="18" spans="1:31" ht="31.5" customHeight="1" x14ac:dyDescent="0.25">
      <c r="A18" s="41">
        <v>4</v>
      </c>
      <c r="B18" s="43" t="s">
        <v>83</v>
      </c>
      <c r="C18" s="43"/>
      <c r="D18" s="43"/>
      <c r="E18" s="43"/>
      <c r="F18" s="24" t="s">
        <v>65</v>
      </c>
      <c r="G18" s="26"/>
      <c r="H18" s="26"/>
      <c r="I18" s="26"/>
      <c r="K18" s="35"/>
      <c r="M18" s="27">
        <v>25</v>
      </c>
      <c r="N18" s="27">
        <v>25</v>
      </c>
      <c r="O18" s="27">
        <v>25</v>
      </c>
      <c r="P18" s="27">
        <v>25</v>
      </c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27">
        <f>SUM(G19:AD19)/$AE$50*100</f>
        <v>4.2070374250692133</v>
      </c>
    </row>
    <row r="19" spans="1:31" ht="31.5" customHeight="1" x14ac:dyDescent="0.25">
      <c r="A19" s="56"/>
      <c r="B19" s="58"/>
      <c r="C19" s="58"/>
      <c r="D19" s="58"/>
      <c r="E19" s="58"/>
      <c r="F19" s="23" t="s">
        <v>66</v>
      </c>
      <c r="G19" s="28"/>
      <c r="H19" s="28"/>
      <c r="I19" s="28"/>
      <c r="J19" s="28"/>
      <c r="K19" s="28"/>
      <c r="L19" s="28"/>
      <c r="M19" s="28">
        <f>(164263.47+12717.01)/4</f>
        <v>44245.120000000003</v>
      </c>
      <c r="N19" s="28">
        <f t="shared" ref="N19:P19" si="2">(164263.47+12717.01)/4</f>
        <v>44245.120000000003</v>
      </c>
      <c r="O19" s="28">
        <f t="shared" si="2"/>
        <v>44245.120000000003</v>
      </c>
      <c r="P19" s="28">
        <f t="shared" si="2"/>
        <v>44245.120000000003</v>
      </c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>
        <f>SUM(G19:AD19)</f>
        <v>176980.48000000001</v>
      </c>
    </row>
    <row r="20" spans="1:31" ht="31.5" customHeight="1" x14ac:dyDescent="0.25">
      <c r="A20" s="41">
        <v>5</v>
      </c>
      <c r="B20" s="43" t="s">
        <v>84</v>
      </c>
      <c r="C20" s="43"/>
      <c r="D20" s="43"/>
      <c r="E20" s="43"/>
      <c r="F20" s="24" t="s">
        <v>65</v>
      </c>
      <c r="G20" s="26"/>
      <c r="H20" s="26"/>
      <c r="I20" s="26"/>
      <c r="J20" s="26"/>
      <c r="K20" s="26"/>
      <c r="L20" s="26"/>
      <c r="M20" s="26"/>
      <c r="N20" s="26"/>
      <c r="O20" s="26"/>
      <c r="P20" s="27">
        <v>33.33</v>
      </c>
      <c r="Q20" s="27">
        <v>33.33</v>
      </c>
      <c r="R20" s="27">
        <v>33.33</v>
      </c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27">
        <f>SUM(G21:AD21)/$AE$50*100</f>
        <v>4.8359069922346016</v>
      </c>
    </row>
    <row r="21" spans="1:31" ht="31.5" customHeight="1" x14ac:dyDescent="0.25">
      <c r="A21" s="42"/>
      <c r="B21" s="44"/>
      <c r="C21" s="44"/>
      <c r="D21" s="44"/>
      <c r="E21" s="44"/>
      <c r="F21" s="23" t="s">
        <v>66</v>
      </c>
      <c r="G21" s="28"/>
      <c r="H21" s="28"/>
      <c r="I21" s="28"/>
      <c r="J21" s="28"/>
      <c r="K21" s="28"/>
      <c r="L21" s="28"/>
      <c r="M21" s="28"/>
      <c r="N21" s="28"/>
      <c r="O21" s="28"/>
      <c r="P21" s="28">
        <f>(191325.13+12110.46)/3</f>
        <v>67811.863333333327</v>
      </c>
      <c r="Q21" s="28">
        <f t="shared" ref="Q21:R21" si="3">(191325.13+12110.46)/3</f>
        <v>67811.863333333327</v>
      </c>
      <c r="R21" s="28">
        <f t="shared" si="3"/>
        <v>67811.863333333327</v>
      </c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>
        <f>SUM(G21:AD21)</f>
        <v>203435.58999999997</v>
      </c>
    </row>
    <row r="22" spans="1:31" ht="31.5" customHeight="1" x14ac:dyDescent="0.25">
      <c r="A22" s="41">
        <v>6</v>
      </c>
      <c r="B22" s="43" t="s">
        <v>109</v>
      </c>
      <c r="C22" s="43"/>
      <c r="D22" s="43"/>
      <c r="E22" s="43"/>
      <c r="F22" s="33" t="s">
        <v>65</v>
      </c>
      <c r="G22" s="26"/>
      <c r="H22" s="26"/>
      <c r="I22" s="26"/>
      <c r="J22" s="26"/>
      <c r="K22" s="26"/>
      <c r="L22" s="26"/>
      <c r="M22" s="26"/>
      <c r="N22" s="26"/>
      <c r="O22" s="26"/>
      <c r="R22" s="35"/>
      <c r="S22" s="27">
        <v>50</v>
      </c>
      <c r="T22" s="27">
        <v>50</v>
      </c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27">
        <f>SUM(G23:AD23)/$AE$50*100</f>
        <v>0.91018858073745268</v>
      </c>
    </row>
    <row r="23" spans="1:31" ht="31.5" customHeight="1" x14ac:dyDescent="0.25">
      <c r="A23" s="42"/>
      <c r="B23" s="44"/>
      <c r="C23" s="44"/>
      <c r="D23" s="44"/>
      <c r="E23" s="44"/>
      <c r="F23" s="32" t="s">
        <v>66</v>
      </c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>
        <f>38289.56/2</f>
        <v>19144.78</v>
      </c>
      <c r="T23" s="28">
        <f>38289.56/2</f>
        <v>19144.78</v>
      </c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>
        <f>SUM(G23:AD23)</f>
        <v>38289.56</v>
      </c>
    </row>
    <row r="24" spans="1:31" ht="31.5" customHeight="1" x14ac:dyDescent="0.25">
      <c r="A24" s="41">
        <v>7</v>
      </c>
      <c r="B24" s="43" t="s">
        <v>85</v>
      </c>
      <c r="C24" s="43"/>
      <c r="D24" s="43"/>
      <c r="E24" s="43"/>
      <c r="F24" s="33" t="s">
        <v>65</v>
      </c>
      <c r="G24" s="26"/>
      <c r="H24" s="26"/>
      <c r="I24" s="26"/>
      <c r="J24" s="26"/>
      <c r="K24" s="26"/>
      <c r="L24" s="26"/>
      <c r="M24" s="26"/>
      <c r="N24" s="26"/>
      <c r="O24" s="26"/>
      <c r="Q24" s="27">
        <v>50</v>
      </c>
      <c r="R24" s="27">
        <v>50</v>
      </c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27">
        <f>SUM(G25:AD25)/$AE$50*100</f>
        <v>0.67236895153186071</v>
      </c>
    </row>
    <row r="25" spans="1:31" ht="31.5" customHeight="1" x14ac:dyDescent="0.25">
      <c r="A25" s="42"/>
      <c r="B25" s="44"/>
      <c r="C25" s="44"/>
      <c r="D25" s="44"/>
      <c r="E25" s="44"/>
      <c r="F25" s="32" t="s">
        <v>66</v>
      </c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>
        <f>28285.03/2</f>
        <v>14142.514999999999</v>
      </c>
      <c r="R25" s="28">
        <f>28285.03/2</f>
        <v>14142.514999999999</v>
      </c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>
        <f>SUM(G25:AD25)</f>
        <v>28285.03</v>
      </c>
    </row>
    <row r="26" spans="1:31" ht="31.5" customHeight="1" x14ac:dyDescent="0.25">
      <c r="A26" s="41">
        <v>8</v>
      </c>
      <c r="B26" s="43" t="s">
        <v>86</v>
      </c>
      <c r="C26" s="43"/>
      <c r="D26" s="43"/>
      <c r="E26" s="43"/>
      <c r="F26" s="33" t="s">
        <v>65</v>
      </c>
      <c r="G26" s="26"/>
      <c r="H26" s="26"/>
      <c r="I26" s="26"/>
      <c r="J26" s="26"/>
      <c r="K26" s="26"/>
      <c r="L26" s="26"/>
      <c r="M26" s="26"/>
      <c r="N26" s="26"/>
      <c r="O26" s="26"/>
      <c r="Q26" s="27">
        <v>50</v>
      </c>
      <c r="R26" s="27">
        <v>50</v>
      </c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27">
        <f>SUM(G27:AD27)/$AE$50*100</f>
        <v>1.7451741349111993</v>
      </c>
    </row>
    <row r="27" spans="1:31" ht="31.5" customHeight="1" x14ac:dyDescent="0.25">
      <c r="A27" s="42"/>
      <c r="B27" s="44"/>
      <c r="C27" s="44"/>
      <c r="D27" s="44"/>
      <c r="E27" s="44"/>
      <c r="F27" s="32" t="s">
        <v>66</v>
      </c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>
        <f>73415.5/2</f>
        <v>36707.75</v>
      </c>
      <c r="R27" s="28">
        <f>73415.5/2</f>
        <v>36707.75</v>
      </c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>
        <f>SUM(G27:AD27)</f>
        <v>73415.5</v>
      </c>
    </row>
    <row r="28" spans="1:31" ht="31.5" customHeight="1" x14ac:dyDescent="0.25">
      <c r="A28" s="41">
        <v>9</v>
      </c>
      <c r="B28" s="43" t="s">
        <v>87</v>
      </c>
      <c r="C28" s="43"/>
      <c r="D28" s="43"/>
      <c r="E28" s="43"/>
      <c r="F28" s="33" t="s">
        <v>65</v>
      </c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7">
        <v>33.33</v>
      </c>
      <c r="T28" s="27">
        <v>33.33</v>
      </c>
      <c r="U28" s="27">
        <v>33.33</v>
      </c>
      <c r="V28" s="26"/>
      <c r="W28" s="26"/>
      <c r="X28" s="26"/>
      <c r="Y28" s="26"/>
      <c r="Z28" s="26"/>
      <c r="AA28" s="26"/>
      <c r="AB28" s="26"/>
      <c r="AC28" s="26"/>
      <c r="AD28" s="26"/>
      <c r="AE28" s="27">
        <f>SUM(G29:AD29)/$AE$50*100</f>
        <v>7.9899553771414364</v>
      </c>
    </row>
    <row r="29" spans="1:31" ht="31.5" customHeight="1" x14ac:dyDescent="0.25">
      <c r="A29" s="42"/>
      <c r="B29" s="44"/>
      <c r="C29" s="44"/>
      <c r="D29" s="44"/>
      <c r="E29" s="44"/>
      <c r="F29" s="32" t="s">
        <v>66</v>
      </c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>
        <f>336119.22/3</f>
        <v>112039.73999999999</v>
      </c>
      <c r="T29" s="28">
        <f t="shared" ref="T29:U29" si="4">336119.22/3</f>
        <v>112039.73999999999</v>
      </c>
      <c r="U29" s="28">
        <f t="shared" si="4"/>
        <v>112039.73999999999</v>
      </c>
      <c r="V29" s="28"/>
      <c r="W29" s="28"/>
      <c r="X29" s="28"/>
      <c r="Y29" s="28"/>
      <c r="Z29" s="28"/>
      <c r="AA29" s="28"/>
      <c r="AB29" s="28"/>
      <c r="AC29" s="28"/>
      <c r="AD29" s="28"/>
      <c r="AE29" s="28">
        <f>SUM(G29:AD29)</f>
        <v>336119.22</v>
      </c>
    </row>
    <row r="30" spans="1:31" ht="31.5" customHeight="1" x14ac:dyDescent="0.25">
      <c r="A30" s="41">
        <v>10</v>
      </c>
      <c r="B30" s="43" t="s">
        <v>88</v>
      </c>
      <c r="C30" s="43"/>
      <c r="D30" s="43"/>
      <c r="E30" s="43"/>
      <c r="F30" s="33" t="s">
        <v>65</v>
      </c>
      <c r="G30" s="26"/>
      <c r="H30" s="26"/>
      <c r="I30" s="26"/>
      <c r="J30" s="26"/>
      <c r="K30" s="26"/>
      <c r="L30" s="26"/>
      <c r="M30" s="26"/>
      <c r="N30" s="26"/>
      <c r="O30" s="27">
        <v>50</v>
      </c>
      <c r="P30" s="27">
        <v>50</v>
      </c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7">
        <f>SUM(G31:AD31)/$AE$50*100</f>
        <v>4.1085238896868432</v>
      </c>
    </row>
    <row r="31" spans="1:31" ht="31.5" customHeight="1" x14ac:dyDescent="0.25">
      <c r="A31" s="42"/>
      <c r="B31" s="44"/>
      <c r="C31" s="44"/>
      <c r="D31" s="44"/>
      <c r="E31" s="44"/>
      <c r="F31" s="32" t="s">
        <v>66</v>
      </c>
      <c r="G31" s="28"/>
      <c r="H31" s="28"/>
      <c r="I31" s="28"/>
      <c r="J31" s="28"/>
      <c r="K31" s="28"/>
      <c r="L31" s="28"/>
      <c r="M31" s="28"/>
      <c r="N31" s="28"/>
      <c r="O31" s="28">
        <f>(139672.28+33163.96)/2</f>
        <v>86418.12</v>
      </c>
      <c r="P31" s="28">
        <f>(139672.28+33163.96)/2</f>
        <v>86418.12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>
        <f>SUM(G31:AD31)</f>
        <v>172836.24</v>
      </c>
    </row>
    <row r="32" spans="1:31" ht="31.5" customHeight="1" x14ac:dyDescent="0.25">
      <c r="A32" s="41">
        <v>11</v>
      </c>
      <c r="B32" s="43" t="s">
        <v>89</v>
      </c>
      <c r="C32" s="43"/>
      <c r="D32" s="43"/>
      <c r="E32" s="43"/>
      <c r="F32" s="33" t="s">
        <v>65</v>
      </c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7">
        <v>33.33</v>
      </c>
      <c r="T32" s="27">
        <v>33.33</v>
      </c>
      <c r="U32" s="27">
        <v>33.33</v>
      </c>
      <c r="V32" s="26"/>
      <c r="W32" s="26"/>
      <c r="X32" s="26"/>
      <c r="Y32" s="26"/>
      <c r="Z32" s="26"/>
      <c r="AA32" s="26"/>
      <c r="AB32" s="26"/>
      <c r="AC32" s="26"/>
      <c r="AD32" s="26"/>
      <c r="AE32" s="27">
        <f>SUM(G33:AD33)/$AE$50*100</f>
        <v>10.979789259707429</v>
      </c>
    </row>
    <row r="33" spans="1:31" ht="31.5" customHeight="1" x14ac:dyDescent="0.25">
      <c r="A33" s="42"/>
      <c r="B33" s="44"/>
      <c r="C33" s="44"/>
      <c r="D33" s="44"/>
      <c r="E33" s="44"/>
      <c r="F33" s="32" t="s">
        <v>66</v>
      </c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>
        <f>(444447.58+17447.14)/3</f>
        <v>153964.90666666668</v>
      </c>
      <c r="T33" s="28">
        <f t="shared" ref="T33:U33" si="5">(444447.58+17447.14)/3</f>
        <v>153964.90666666668</v>
      </c>
      <c r="U33" s="28">
        <f t="shared" si="5"/>
        <v>153964.90666666668</v>
      </c>
      <c r="V33" s="28"/>
      <c r="W33" s="28"/>
      <c r="X33" s="28"/>
      <c r="Y33" s="28"/>
      <c r="Z33" s="28"/>
      <c r="AA33" s="28"/>
      <c r="AB33" s="28"/>
      <c r="AC33" s="28"/>
      <c r="AD33" s="28"/>
      <c r="AE33" s="28">
        <f>SUM(G33:AD33)</f>
        <v>461894.72000000003</v>
      </c>
    </row>
    <row r="34" spans="1:31" ht="31.5" customHeight="1" x14ac:dyDescent="0.25">
      <c r="A34" s="41">
        <v>12</v>
      </c>
      <c r="B34" s="43" t="s">
        <v>90</v>
      </c>
      <c r="C34" s="43"/>
      <c r="D34" s="43"/>
      <c r="E34" s="43"/>
      <c r="F34" s="33" t="s">
        <v>65</v>
      </c>
      <c r="G34" s="26"/>
      <c r="H34" s="26"/>
      <c r="I34" s="26"/>
      <c r="J34" s="26"/>
      <c r="K34" s="26"/>
      <c r="L34" s="26"/>
      <c r="M34" s="26"/>
      <c r="N34" s="26"/>
      <c r="O34" s="26"/>
      <c r="S34" s="27">
        <v>33.33</v>
      </c>
      <c r="T34" s="27">
        <v>33.33</v>
      </c>
      <c r="U34" s="27">
        <v>33.33</v>
      </c>
      <c r="V34" s="26"/>
      <c r="W34" s="26"/>
      <c r="X34" s="26"/>
      <c r="Y34" s="26"/>
      <c r="Z34" s="26"/>
      <c r="AA34" s="26"/>
      <c r="AB34" s="26"/>
      <c r="AC34" s="26"/>
      <c r="AD34" s="26"/>
      <c r="AE34" s="27">
        <f>SUM(G35:AD35)/$AE$50*100</f>
        <v>3.2211589837032726</v>
      </c>
    </row>
    <row r="35" spans="1:31" ht="31.5" customHeight="1" x14ac:dyDescent="0.25">
      <c r="A35" s="42"/>
      <c r="B35" s="44"/>
      <c r="C35" s="44"/>
      <c r="D35" s="44"/>
      <c r="E35" s="44"/>
      <c r="F35" s="32" t="s">
        <v>66</v>
      </c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>
        <f>(122217.3+13289.52)/3</f>
        <v>45168.94</v>
      </c>
      <c r="T35" s="28">
        <f t="shared" ref="T35:U35" si="6">(122217.3+13289.52)/3</f>
        <v>45168.94</v>
      </c>
      <c r="U35" s="28">
        <f t="shared" si="6"/>
        <v>45168.94</v>
      </c>
      <c r="V35" s="28"/>
      <c r="W35" s="28"/>
      <c r="X35" s="28"/>
      <c r="Y35" s="28"/>
      <c r="Z35" s="28"/>
      <c r="AA35" s="28"/>
      <c r="AB35" s="28"/>
      <c r="AC35" s="28"/>
      <c r="AD35" s="28"/>
      <c r="AE35" s="28">
        <f>SUM(G35:AD35)</f>
        <v>135506.82</v>
      </c>
    </row>
    <row r="36" spans="1:31" ht="31.5" customHeight="1" x14ac:dyDescent="0.25">
      <c r="A36" s="41">
        <v>13</v>
      </c>
      <c r="B36" s="43" t="s">
        <v>91</v>
      </c>
      <c r="C36" s="43"/>
      <c r="D36" s="43"/>
      <c r="E36" s="43"/>
      <c r="F36" s="33" t="s">
        <v>65</v>
      </c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7">
        <v>50</v>
      </c>
      <c r="W36" s="27">
        <v>50</v>
      </c>
      <c r="AE36" s="27">
        <f>SUM(G37:AD37)/$AE$50*100</f>
        <v>2.8546007452202939</v>
      </c>
    </row>
    <row r="37" spans="1:31" ht="31.5" customHeight="1" x14ac:dyDescent="0.25">
      <c r="A37" s="42"/>
      <c r="B37" s="44"/>
      <c r="C37" s="44"/>
      <c r="D37" s="44"/>
      <c r="E37" s="44"/>
      <c r="F37" s="32" t="s">
        <v>66</v>
      </c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>
        <f>120086.55/2</f>
        <v>60043.275000000001</v>
      </c>
      <c r="W37" s="28">
        <f>120086.55/2</f>
        <v>60043.275000000001</v>
      </c>
      <c r="X37" s="28"/>
      <c r="Y37" s="28"/>
      <c r="Z37" s="28"/>
      <c r="AA37" s="28"/>
      <c r="AB37" s="28"/>
      <c r="AC37" s="28"/>
      <c r="AD37" s="28"/>
      <c r="AE37" s="28">
        <f>SUM(G37:AD37)</f>
        <v>120086.55</v>
      </c>
    </row>
    <row r="38" spans="1:31" ht="31.5" customHeight="1" x14ac:dyDescent="0.25">
      <c r="A38" s="41">
        <v>14</v>
      </c>
      <c r="B38" s="43" t="s">
        <v>92</v>
      </c>
      <c r="C38" s="43"/>
      <c r="D38" s="43"/>
      <c r="E38" s="43"/>
      <c r="F38" s="33" t="s">
        <v>65</v>
      </c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7">
        <v>25</v>
      </c>
      <c r="X38" s="27">
        <v>25</v>
      </c>
      <c r="Y38" s="27">
        <v>25</v>
      </c>
      <c r="Z38" s="27">
        <v>25</v>
      </c>
      <c r="AE38" s="27">
        <f>SUM(G39:AD39)/$AE$50*100</f>
        <v>6.4386422275902762</v>
      </c>
    </row>
    <row r="39" spans="1:31" ht="31.5" customHeight="1" x14ac:dyDescent="0.25">
      <c r="A39" s="42"/>
      <c r="B39" s="44"/>
      <c r="C39" s="44"/>
      <c r="D39" s="44"/>
      <c r="E39" s="44"/>
      <c r="F39" s="32" t="s">
        <v>66</v>
      </c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>
        <f>(250523.54+20335.47)/4</f>
        <v>67714.752500000002</v>
      </c>
      <c r="X39" s="28">
        <f t="shared" ref="X39:Z39" si="7">(250523.54+20335.47)/4</f>
        <v>67714.752500000002</v>
      </c>
      <c r="Y39" s="28">
        <f t="shared" si="7"/>
        <v>67714.752500000002</v>
      </c>
      <c r="Z39" s="28">
        <f t="shared" si="7"/>
        <v>67714.752500000002</v>
      </c>
      <c r="AA39" s="28"/>
      <c r="AB39" s="28"/>
      <c r="AC39" s="28"/>
      <c r="AD39" s="28"/>
      <c r="AE39" s="28">
        <f>SUM(G39:AD39)</f>
        <v>270859.01</v>
      </c>
    </row>
    <row r="40" spans="1:31" ht="31.5" customHeight="1" x14ac:dyDescent="0.25">
      <c r="A40" s="41">
        <v>15</v>
      </c>
      <c r="B40" s="43" t="s">
        <v>93</v>
      </c>
      <c r="C40" s="43"/>
      <c r="D40" s="43"/>
      <c r="E40" s="43"/>
      <c r="F40" s="33" t="s">
        <v>65</v>
      </c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7">
        <v>100</v>
      </c>
      <c r="AB40" s="26"/>
      <c r="AC40" s="26"/>
      <c r="AD40" s="26"/>
      <c r="AE40" s="27">
        <f>SUM(G41:AD41)/$AE$50*100</f>
        <v>1.0651201938869912</v>
      </c>
    </row>
    <row r="41" spans="1:31" ht="31.5" customHeight="1" x14ac:dyDescent="0.25">
      <c r="A41" s="42"/>
      <c r="B41" s="44"/>
      <c r="C41" s="44"/>
      <c r="D41" s="44"/>
      <c r="E41" s="44"/>
      <c r="F41" s="32" t="s">
        <v>66</v>
      </c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>
        <v>44807.18</v>
      </c>
      <c r="AB41" s="28"/>
      <c r="AC41" s="28"/>
      <c r="AD41" s="28"/>
      <c r="AE41" s="28">
        <f>SUM(G41:AD41)</f>
        <v>44807.18</v>
      </c>
    </row>
    <row r="42" spans="1:31" ht="31.5" customHeight="1" x14ac:dyDescent="0.25">
      <c r="A42" s="41">
        <v>16</v>
      </c>
      <c r="B42" s="43" t="s">
        <v>94</v>
      </c>
      <c r="C42" s="43"/>
      <c r="D42" s="43"/>
      <c r="E42" s="43"/>
      <c r="F42" s="33" t="s">
        <v>65</v>
      </c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T42" s="26"/>
      <c r="U42" s="26"/>
      <c r="V42" s="26"/>
      <c r="W42" s="26"/>
      <c r="X42" s="26"/>
      <c r="Y42" s="26"/>
      <c r="Z42" s="26"/>
      <c r="AA42" s="26"/>
      <c r="AB42" s="27">
        <v>100</v>
      </c>
      <c r="AC42" s="26"/>
      <c r="AD42" s="26"/>
      <c r="AE42" s="27">
        <f>SUM(G43:AD43)/$AE$50*100</f>
        <v>0.73636433527997702</v>
      </c>
    </row>
    <row r="43" spans="1:31" ht="31.5" customHeight="1" x14ac:dyDescent="0.25">
      <c r="A43" s="42"/>
      <c r="B43" s="44"/>
      <c r="C43" s="44"/>
      <c r="D43" s="44"/>
      <c r="E43" s="44"/>
      <c r="F43" s="32" t="s">
        <v>66</v>
      </c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>
        <v>30977.17</v>
      </c>
      <c r="AC43" s="28"/>
      <c r="AD43" s="28"/>
      <c r="AE43" s="28">
        <f>SUM(G43:AD43)</f>
        <v>30977.17</v>
      </c>
    </row>
    <row r="44" spans="1:31" ht="31.5" customHeight="1" x14ac:dyDescent="0.25">
      <c r="A44" s="41">
        <v>17</v>
      </c>
      <c r="B44" s="43" t="s">
        <v>112</v>
      </c>
      <c r="C44" s="43"/>
      <c r="D44" s="43"/>
      <c r="E44" s="43"/>
      <c r="F44" s="38" t="s">
        <v>65</v>
      </c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T44" s="26"/>
      <c r="U44" s="26"/>
      <c r="V44" s="26"/>
      <c r="W44" s="26"/>
      <c r="X44" s="26"/>
      <c r="Y44" s="26"/>
      <c r="Z44" s="26"/>
      <c r="AA44" s="26"/>
      <c r="AB44" s="27">
        <v>50</v>
      </c>
      <c r="AC44" s="27">
        <v>50</v>
      </c>
      <c r="AD44" s="26"/>
      <c r="AE44" s="27">
        <f>SUM(G45:AD45)/$AE$50*100</f>
        <v>3.0711401633353961</v>
      </c>
    </row>
    <row r="45" spans="1:31" ht="31.5" customHeight="1" x14ac:dyDescent="0.25">
      <c r="A45" s="42"/>
      <c r="B45" s="44"/>
      <c r="C45" s="44"/>
      <c r="D45" s="44"/>
      <c r="E45" s="44"/>
      <c r="F45" s="32" t="s">
        <v>66</v>
      </c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>
        <f>129195.87/2</f>
        <v>64597.934999999998</v>
      </c>
      <c r="AC45" s="28">
        <f>129195.87/2</f>
        <v>64597.934999999998</v>
      </c>
      <c r="AD45" s="28"/>
      <c r="AE45" s="28">
        <f>SUM(G45:AD45)</f>
        <v>129195.87</v>
      </c>
    </row>
    <row r="46" spans="1:31" ht="31.5" customHeight="1" x14ac:dyDescent="0.25">
      <c r="A46" s="41">
        <v>18</v>
      </c>
      <c r="B46" s="43" t="s">
        <v>111</v>
      </c>
      <c r="C46" s="43"/>
      <c r="D46" s="43"/>
      <c r="E46" s="43"/>
      <c r="F46" s="33" t="s">
        <v>65</v>
      </c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U46" s="26"/>
      <c r="V46" s="26"/>
      <c r="W46" s="26"/>
      <c r="X46" s="26"/>
      <c r="Y46" s="26"/>
      <c r="Z46" s="26"/>
      <c r="AA46" s="26"/>
      <c r="AB46" s="27">
        <v>50</v>
      </c>
      <c r="AC46" s="27">
        <v>50</v>
      </c>
      <c r="AD46" s="26"/>
      <c r="AE46" s="27">
        <f>SUM(G47:AD47)/$AE$50*100</f>
        <v>2.5423242672485302</v>
      </c>
    </row>
    <row r="47" spans="1:31" ht="31.5" customHeight="1" x14ac:dyDescent="0.25">
      <c r="A47" s="42"/>
      <c r="B47" s="44"/>
      <c r="C47" s="44"/>
      <c r="D47" s="44"/>
      <c r="E47" s="44"/>
      <c r="F47" s="32" t="s">
        <v>66</v>
      </c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>
        <f>(66408.25+40541.54)/2</f>
        <v>53474.895000000004</v>
      </c>
      <c r="AC47" s="28">
        <f>(66408.25+40541.54)/2</f>
        <v>53474.895000000004</v>
      </c>
      <c r="AD47" s="28"/>
      <c r="AE47" s="28">
        <f>SUM(G47:AD47)</f>
        <v>106949.79000000001</v>
      </c>
    </row>
    <row r="48" spans="1:31" ht="31.5" customHeight="1" x14ac:dyDescent="0.25">
      <c r="A48" s="41">
        <v>19</v>
      </c>
      <c r="B48" s="43" t="s">
        <v>95</v>
      </c>
      <c r="C48" s="43"/>
      <c r="D48" s="43"/>
      <c r="E48" s="43"/>
      <c r="F48" s="33" t="s">
        <v>65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7">
        <v>100</v>
      </c>
      <c r="AE48" s="27">
        <f>SUM(G49:AD49)/$AE$50*100</f>
        <v>7.6858452553520501E-2</v>
      </c>
    </row>
    <row r="49" spans="1:31" ht="31.5" customHeight="1" x14ac:dyDescent="0.25">
      <c r="A49" s="42"/>
      <c r="B49" s="44"/>
      <c r="C49" s="44"/>
      <c r="D49" s="44"/>
      <c r="E49" s="44"/>
      <c r="F49" s="32" t="s">
        <v>66</v>
      </c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>
        <f>3007.54+225.72</f>
        <v>3233.2599999999998</v>
      </c>
      <c r="AE49" s="28">
        <f>SUM(G49:AD49)</f>
        <v>3233.2599999999998</v>
      </c>
    </row>
    <row r="50" spans="1:31" x14ac:dyDescent="0.25">
      <c r="AD50" s="39" t="s">
        <v>0</v>
      </c>
      <c r="AE50" s="39">
        <f>SUM(AE49+AE47+AE43+AE41+AE39+AE37+AE35+AE33+AE31+AE29+AE27+AE25+AE23+AE21+AE19+AE17+AE15+AE13+AE45)</f>
        <v>4206772.18</v>
      </c>
    </row>
    <row r="51" spans="1:31" x14ac:dyDescent="0.25">
      <c r="AD51" s="40"/>
      <c r="AE51" s="40"/>
    </row>
    <row r="52" spans="1:31" x14ac:dyDescent="0.25">
      <c r="AD52" s="40"/>
      <c r="AE52" s="40"/>
    </row>
    <row r="53" spans="1:31" x14ac:dyDescent="0.25">
      <c r="AD53" s="40"/>
      <c r="AE53" s="40"/>
    </row>
    <row r="54" spans="1:31" x14ac:dyDescent="0.25"/>
    <row r="55" spans="1:31" x14ac:dyDescent="0.25"/>
    <row r="56" spans="1:31" x14ac:dyDescent="0.25">
      <c r="AD56" s="37"/>
    </row>
    <row r="57" spans="1:31" ht="64.150000000000006" customHeight="1" x14ac:dyDescent="0.25">
      <c r="A57" s="13"/>
      <c r="J57" s="13"/>
      <c r="K57" s="57" t="s">
        <v>10</v>
      </c>
      <c r="L57" s="57"/>
      <c r="M57" s="57"/>
      <c r="N57" s="57" t="s">
        <v>11</v>
      </c>
      <c r="O57" s="57"/>
      <c r="P57" s="57"/>
      <c r="Q57" s="57"/>
      <c r="R57" s="57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1"/>
    </row>
    <row r="58" spans="1:31" x14ac:dyDescent="0.25"/>
    <row r="59" spans="1:31" x14ac:dyDescent="0.25"/>
    <row r="60" spans="1:31" x14ac:dyDescent="0.25"/>
    <row r="61" spans="1:31" x14ac:dyDescent="0.25"/>
    <row r="62" spans="1:31" x14ac:dyDescent="0.25"/>
    <row r="63" spans="1:31" x14ac:dyDescent="0.25"/>
    <row r="64" spans="1:31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hidden="1" x14ac:dyDescent="0.25"/>
    <row r="418" hidden="1" x14ac:dyDescent="0.25"/>
    <row r="419" hidden="1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</sheetData>
  <sheetProtection algorithmName="SHA-512" hashValue="uOcXJqNTzvS8N3w0VHbdIO+J87rVUpmAph817B+GX4kCLKd3eFjQwDM5AF5eDUruJp+wzyaows8/T09RWxjILQ==" saltValue="MLB5S3bMw48KTRFWFCnFPw==" spinCount="100000" sheet="1" objects="1" scenarios="1"/>
  <mergeCells count="53">
    <mergeCell ref="A24:A25"/>
    <mergeCell ref="A22:A23"/>
    <mergeCell ref="B12:E13"/>
    <mergeCell ref="A14:A15"/>
    <mergeCell ref="A16:A17"/>
    <mergeCell ref="A18:A19"/>
    <mergeCell ref="A20:A21"/>
    <mergeCell ref="K57:M57"/>
    <mergeCell ref="N57:R57"/>
    <mergeCell ref="B14:E15"/>
    <mergeCell ref="B16:E17"/>
    <mergeCell ref="B18:E19"/>
    <mergeCell ref="B20:E21"/>
    <mergeCell ref="B24:E25"/>
    <mergeCell ref="B22:E23"/>
    <mergeCell ref="A26:A27"/>
    <mergeCell ref="B26:E27"/>
    <mergeCell ref="A28:A29"/>
    <mergeCell ref="B28:E29"/>
    <mergeCell ref="A2:AE2"/>
    <mergeCell ref="A10:AE10"/>
    <mergeCell ref="A8:B8"/>
    <mergeCell ref="A3:C3"/>
    <mergeCell ref="E3:G3"/>
    <mergeCell ref="P3:AE3"/>
    <mergeCell ref="A4:C6"/>
    <mergeCell ref="E4:G6"/>
    <mergeCell ref="P4:AE6"/>
    <mergeCell ref="P8:AE9"/>
    <mergeCell ref="B11:E11"/>
    <mergeCell ref="A12:A13"/>
    <mergeCell ref="A30:A31"/>
    <mergeCell ref="B30:E31"/>
    <mergeCell ref="A32:A33"/>
    <mergeCell ref="B32:E33"/>
    <mergeCell ref="A34:A35"/>
    <mergeCell ref="B34:E35"/>
    <mergeCell ref="A36:A37"/>
    <mergeCell ref="B36:E37"/>
    <mergeCell ref="A38:A39"/>
    <mergeCell ref="B38:E39"/>
    <mergeCell ref="A40:A41"/>
    <mergeCell ref="B40:E41"/>
    <mergeCell ref="AD50:AD53"/>
    <mergeCell ref="AE50:AE53"/>
    <mergeCell ref="A42:A43"/>
    <mergeCell ref="B42:E43"/>
    <mergeCell ref="A46:A47"/>
    <mergeCell ref="B46:E47"/>
    <mergeCell ref="A48:A49"/>
    <mergeCell ref="B48:E49"/>
    <mergeCell ref="A44:A45"/>
    <mergeCell ref="B44:E45"/>
  </mergeCells>
  <printOptions horizontalCentered="1"/>
  <pageMargins left="0.25" right="0.25" top="0.75" bottom="0.75" header="0.3" footer="0.3"/>
  <pageSetup paperSize="8" scale="34" fitToHeight="0" orientation="landscape" r:id="rId1"/>
  <ignoredErrors>
    <ignoredError sqref="AE15 AE21 AE17 AE1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4"/>
  <sheetViews>
    <sheetView topLeftCell="E1" workbookViewId="0">
      <selection activeCell="H35" sqref="H35"/>
    </sheetView>
  </sheetViews>
  <sheetFormatPr defaultRowHeight="15" x14ac:dyDescent="0.25"/>
  <cols>
    <col min="1" max="1" width="10.28515625" bestFit="1" customWidth="1"/>
    <col min="2" max="2" width="19.140625" bestFit="1" customWidth="1"/>
    <col min="8" max="8" width="22.28515625" bestFit="1" customWidth="1"/>
    <col min="9" max="9" width="8.5703125" bestFit="1" customWidth="1"/>
  </cols>
  <sheetData>
    <row r="2" spans="1:18" x14ac:dyDescent="0.25">
      <c r="D2" s="14"/>
      <c r="E2" s="16"/>
      <c r="F2" s="16"/>
      <c r="G2" s="14"/>
      <c r="H2" s="17" t="s">
        <v>13</v>
      </c>
      <c r="I2" s="17"/>
      <c r="J2" s="17"/>
      <c r="K2" s="17"/>
      <c r="L2" s="14"/>
      <c r="M2" s="14"/>
      <c r="N2" s="14"/>
      <c r="O2" s="14"/>
      <c r="P2" s="14"/>
      <c r="Q2" s="14"/>
      <c r="R2" s="14"/>
    </row>
    <row r="3" spans="1:18" ht="105" x14ac:dyDescent="0.25">
      <c r="D3" s="18" t="s">
        <v>14</v>
      </c>
      <c r="E3" s="19" t="s">
        <v>15</v>
      </c>
      <c r="F3" s="19"/>
      <c r="G3" s="18" t="s">
        <v>16</v>
      </c>
      <c r="H3" s="18" t="s">
        <v>17</v>
      </c>
      <c r="I3" s="18" t="s">
        <v>18</v>
      </c>
      <c r="J3" s="18" t="s">
        <v>19</v>
      </c>
      <c r="K3" s="18" t="s">
        <v>20</v>
      </c>
      <c r="L3" s="18" t="s">
        <v>21</v>
      </c>
      <c r="M3" s="18" t="s">
        <v>22</v>
      </c>
      <c r="N3" s="18" t="s">
        <v>23</v>
      </c>
      <c r="O3" s="18" t="s">
        <v>24</v>
      </c>
      <c r="P3" s="18" t="s">
        <v>25</v>
      </c>
      <c r="Q3" s="18" t="s">
        <v>26</v>
      </c>
      <c r="R3" s="18" t="s">
        <v>27</v>
      </c>
    </row>
    <row r="4" spans="1:18" x14ac:dyDescent="0.25">
      <c r="D4" s="14" t="s">
        <v>28</v>
      </c>
      <c r="E4" s="16" t="s">
        <v>29</v>
      </c>
      <c r="F4" s="16" t="s">
        <v>30</v>
      </c>
      <c r="G4" s="14">
        <v>1</v>
      </c>
      <c r="H4" s="14">
        <v>1.83</v>
      </c>
      <c r="I4" s="14">
        <v>9.65</v>
      </c>
      <c r="J4" s="14">
        <v>1.41</v>
      </c>
      <c r="K4" s="14">
        <v>6.18</v>
      </c>
      <c r="L4" s="14"/>
      <c r="M4" s="14"/>
      <c r="N4" s="14"/>
      <c r="O4" s="14"/>
      <c r="P4" s="14"/>
      <c r="Q4" s="14"/>
      <c r="R4" s="14"/>
    </row>
    <row r="5" spans="1:18" x14ac:dyDescent="0.25">
      <c r="D5" s="14" t="s">
        <v>28</v>
      </c>
      <c r="E5" s="16" t="s">
        <v>31</v>
      </c>
      <c r="F5" s="16" t="s">
        <v>30</v>
      </c>
      <c r="G5" s="14">
        <v>1</v>
      </c>
      <c r="H5" s="14">
        <v>2.59</v>
      </c>
      <c r="I5" s="14">
        <v>11.63</v>
      </c>
      <c r="J5" s="14">
        <v>2.0699999999999998</v>
      </c>
      <c r="K5" s="14">
        <v>8.81</v>
      </c>
      <c r="L5" s="14"/>
      <c r="M5" s="14"/>
      <c r="N5" s="14"/>
      <c r="O5" s="14"/>
      <c r="P5" s="14"/>
      <c r="Q5" s="14"/>
      <c r="R5" s="14"/>
    </row>
    <row r="6" spans="1:18" x14ac:dyDescent="0.25">
      <c r="D6" s="14" t="s">
        <v>28</v>
      </c>
      <c r="E6" s="16" t="s">
        <v>32</v>
      </c>
      <c r="F6" s="16" t="s">
        <v>30</v>
      </c>
      <c r="G6" s="14">
        <v>2</v>
      </c>
      <c r="H6" s="14">
        <f>1.2*G6</f>
        <v>2.4</v>
      </c>
      <c r="I6" s="14">
        <f>7.67*G6</f>
        <v>15.34</v>
      </c>
      <c r="J6" s="14">
        <f>0.87*G6</f>
        <v>1.74</v>
      </c>
      <c r="K6" s="14">
        <f>4.03*G6</f>
        <v>8.06</v>
      </c>
      <c r="L6" s="14"/>
      <c r="M6" s="14"/>
      <c r="N6" s="14"/>
      <c r="O6" s="14"/>
      <c r="P6" s="14"/>
      <c r="Q6" s="14"/>
      <c r="R6" s="14"/>
    </row>
    <row r="7" spans="1:18" x14ac:dyDescent="0.25">
      <c r="A7" s="14"/>
      <c r="B7" s="14" t="s">
        <v>6</v>
      </c>
      <c r="C7" s="15" t="s">
        <v>7</v>
      </c>
      <c r="D7" s="14" t="s">
        <v>33</v>
      </c>
      <c r="E7" s="16" t="s">
        <v>34</v>
      </c>
      <c r="F7" s="16" t="s">
        <v>30</v>
      </c>
      <c r="G7" s="14">
        <v>1</v>
      </c>
      <c r="H7" s="14">
        <f>0.35*2.8</f>
        <v>0.97999999999999987</v>
      </c>
      <c r="I7" s="14">
        <f>2.83*2.8</f>
        <v>7.9239999999999995</v>
      </c>
      <c r="J7" s="14"/>
      <c r="K7" s="14">
        <f>1.24*2.8</f>
        <v>3.472</v>
      </c>
      <c r="L7" s="14"/>
      <c r="M7" s="14"/>
      <c r="N7" s="14"/>
      <c r="O7" s="14"/>
      <c r="P7" s="14"/>
      <c r="Q7" s="14">
        <f>10.57*2.8</f>
        <v>29.596</v>
      </c>
      <c r="R7" s="14"/>
    </row>
    <row r="8" spans="1:18" x14ac:dyDescent="0.25">
      <c r="A8" s="14" t="s">
        <v>8</v>
      </c>
      <c r="B8" s="14">
        <f>(15*20)+17.42</f>
        <v>317.42</v>
      </c>
      <c r="C8" s="15">
        <f>(46*20)+0.1</f>
        <v>920.1</v>
      </c>
      <c r="D8" s="14" t="s">
        <v>33</v>
      </c>
      <c r="E8" s="16" t="s">
        <v>35</v>
      </c>
      <c r="F8" s="16" t="s">
        <v>30</v>
      </c>
      <c r="G8" s="14">
        <v>1</v>
      </c>
      <c r="H8" s="14">
        <f>0.42*2.4</f>
        <v>1.008</v>
      </c>
      <c r="I8" s="14">
        <f>3.03*2.4</f>
        <v>7.2719999999999994</v>
      </c>
      <c r="J8" s="14"/>
      <c r="K8" s="14">
        <f>1.28*2.4</f>
        <v>3.0720000000000001</v>
      </c>
      <c r="L8" s="14"/>
      <c r="M8" s="14"/>
      <c r="N8" s="14"/>
      <c r="O8" s="14"/>
      <c r="P8" s="14"/>
      <c r="Q8" s="14">
        <v>11.14</v>
      </c>
      <c r="R8" s="14"/>
    </row>
    <row r="9" spans="1:18" x14ac:dyDescent="0.25">
      <c r="A9" s="14" t="s">
        <v>9</v>
      </c>
      <c r="B9" s="14">
        <v>23</v>
      </c>
      <c r="C9" s="15">
        <v>14</v>
      </c>
      <c r="D9" s="14" t="s">
        <v>36</v>
      </c>
      <c r="E9" s="20" t="s">
        <v>37</v>
      </c>
      <c r="F9" s="16" t="s">
        <v>30</v>
      </c>
      <c r="G9" s="14">
        <v>2</v>
      </c>
      <c r="H9" s="14">
        <f>4.205*2</f>
        <v>8.41</v>
      </c>
      <c r="I9" s="14">
        <f>18.19*G9</f>
        <v>36.380000000000003</v>
      </c>
      <c r="J9" s="14"/>
      <c r="K9" s="14"/>
      <c r="L9" s="14">
        <f>20.602*G9</f>
        <v>41.204000000000001</v>
      </c>
      <c r="M9" s="14">
        <f>2.86*G9</f>
        <v>5.72</v>
      </c>
      <c r="N9" s="14">
        <f>3.111*G9</f>
        <v>6.2220000000000004</v>
      </c>
      <c r="O9" s="14">
        <f>0.673*G9</f>
        <v>1.3460000000000001</v>
      </c>
      <c r="P9" s="14">
        <f>0.455*G9</f>
        <v>0.91</v>
      </c>
      <c r="Q9" s="14"/>
      <c r="R9" s="14"/>
    </row>
    <row r="10" spans="1:18" x14ac:dyDescent="0.25">
      <c r="A10" s="14"/>
      <c r="B10" s="14"/>
      <c r="C10" s="15"/>
      <c r="D10" s="14" t="s">
        <v>36</v>
      </c>
      <c r="E10" s="20" t="s">
        <v>38</v>
      </c>
      <c r="F10" s="16" t="s">
        <v>30</v>
      </c>
      <c r="G10" s="21">
        <v>2</v>
      </c>
      <c r="H10" s="14">
        <f>1.38*G10</f>
        <v>2.76</v>
      </c>
      <c r="I10" s="14">
        <f>8.71*G10</f>
        <v>17.420000000000002</v>
      </c>
      <c r="J10" s="14"/>
      <c r="K10" s="14"/>
      <c r="L10" s="14">
        <f>6.761*G10</f>
        <v>13.522</v>
      </c>
      <c r="M10" s="14">
        <f>0.939*G10</f>
        <v>1.8779999999999999</v>
      </c>
      <c r="N10" s="14">
        <f>1.021*G10</f>
        <v>2.0419999999999998</v>
      </c>
      <c r="O10" s="14">
        <f>0.276*G10</f>
        <v>0.55200000000000005</v>
      </c>
      <c r="P10" s="14">
        <f>0.267*G10</f>
        <v>0.53400000000000003</v>
      </c>
      <c r="Q10" s="14"/>
      <c r="R10" s="14"/>
    </row>
    <row r="11" spans="1:18" x14ac:dyDescent="0.25">
      <c r="A11" s="14"/>
      <c r="B11" s="14"/>
      <c r="C11" s="15"/>
      <c r="D11" s="14" t="s">
        <v>36</v>
      </c>
      <c r="E11" s="20" t="s">
        <v>39</v>
      </c>
      <c r="F11" s="16" t="s">
        <v>30</v>
      </c>
      <c r="G11" s="21">
        <v>1</v>
      </c>
      <c r="H11" s="14">
        <v>2.5390000000000001</v>
      </c>
      <c r="I11" s="14">
        <v>13.03</v>
      </c>
      <c r="J11" s="14"/>
      <c r="K11" s="14"/>
      <c r="L11" s="14">
        <v>12.3439</v>
      </c>
      <c r="M11" s="14">
        <v>1.7270000000000001</v>
      </c>
      <c r="N11" s="14">
        <v>1.879</v>
      </c>
      <c r="O11" s="14">
        <v>0.40600000000000003</v>
      </c>
      <c r="P11" s="14">
        <v>0.32600000000000001</v>
      </c>
      <c r="Q11" s="14"/>
      <c r="R11" s="14"/>
    </row>
    <row r="12" spans="1:18" x14ac:dyDescent="0.25">
      <c r="A12" s="14"/>
      <c r="B12" s="14">
        <f>B8+C8</f>
        <v>1237.52</v>
      </c>
      <c r="C12" s="15"/>
      <c r="D12" s="14" t="s">
        <v>36</v>
      </c>
      <c r="E12" s="20" t="s">
        <v>40</v>
      </c>
      <c r="F12" s="16" t="s">
        <v>30</v>
      </c>
      <c r="G12" s="21">
        <v>1</v>
      </c>
      <c r="H12" s="14">
        <v>6.5359999999999996</v>
      </c>
      <c r="I12" s="14">
        <v>24</v>
      </c>
      <c r="J12" s="14"/>
      <c r="K12" s="14"/>
      <c r="L12" s="14">
        <v>32.021999999999998</v>
      </c>
      <c r="M12" s="14">
        <v>4.4459999999999997</v>
      </c>
      <c r="N12" s="14">
        <v>4.8360000000000003</v>
      </c>
      <c r="O12" s="14">
        <v>1.046</v>
      </c>
      <c r="P12" s="14">
        <v>0.6</v>
      </c>
      <c r="Q12" s="14"/>
      <c r="R12" s="14"/>
    </row>
    <row r="13" spans="1:18" x14ac:dyDescent="0.25">
      <c r="A13" s="14"/>
      <c r="B13" s="14">
        <f>B12*4</f>
        <v>4950.08</v>
      </c>
      <c r="C13" s="15"/>
      <c r="D13" s="14" t="s">
        <v>41</v>
      </c>
      <c r="E13" s="16" t="s">
        <v>42</v>
      </c>
      <c r="F13" s="16" t="s">
        <v>30</v>
      </c>
      <c r="G13" s="21">
        <v>1</v>
      </c>
      <c r="H13" s="14">
        <v>1.67</v>
      </c>
      <c r="I13" s="14">
        <v>15.05</v>
      </c>
      <c r="J13" s="14"/>
      <c r="K13" s="14"/>
      <c r="L13" s="14"/>
      <c r="M13" s="14"/>
      <c r="N13" s="14"/>
      <c r="O13" s="14"/>
      <c r="P13" s="14"/>
      <c r="Q13" s="14">
        <v>17</v>
      </c>
      <c r="R13" s="14"/>
    </row>
    <row r="14" spans="1:18" x14ac:dyDescent="0.25">
      <c r="D14" s="14" t="s">
        <v>41</v>
      </c>
      <c r="E14" s="16" t="s">
        <v>43</v>
      </c>
      <c r="F14" s="16" t="s">
        <v>30</v>
      </c>
      <c r="G14" s="21">
        <v>1</v>
      </c>
      <c r="H14" s="14">
        <v>2.89</v>
      </c>
      <c r="I14" s="14">
        <v>23.62</v>
      </c>
      <c r="J14" s="14"/>
      <c r="K14" s="14"/>
      <c r="L14" s="14"/>
      <c r="M14" s="14"/>
      <c r="N14" s="14"/>
      <c r="O14" s="14"/>
      <c r="P14" s="14"/>
      <c r="Q14" s="14">
        <v>25.7</v>
      </c>
      <c r="R14" s="14"/>
    </row>
    <row r="15" spans="1:18" x14ac:dyDescent="0.25">
      <c r="D15" s="14" t="s">
        <v>44</v>
      </c>
      <c r="E15" s="16" t="s">
        <v>45</v>
      </c>
      <c r="F15" s="16" t="s">
        <v>30</v>
      </c>
      <c r="G15" s="21">
        <v>1</v>
      </c>
      <c r="H15" s="14">
        <v>2.4500000000000002</v>
      </c>
      <c r="I15" s="14">
        <v>25.6</v>
      </c>
      <c r="J15" s="14"/>
      <c r="K15" s="14">
        <v>19</v>
      </c>
      <c r="L15" s="14"/>
      <c r="M15" s="14"/>
      <c r="N15" s="14"/>
      <c r="O15" s="14"/>
      <c r="P15" s="14"/>
      <c r="Q15" s="14"/>
      <c r="R15" s="14">
        <v>6</v>
      </c>
    </row>
    <row r="16" spans="1:18" x14ac:dyDescent="0.25">
      <c r="D16" s="14" t="s">
        <v>44</v>
      </c>
      <c r="E16" s="16" t="s">
        <v>46</v>
      </c>
      <c r="F16" s="16" t="s">
        <v>30</v>
      </c>
      <c r="G16" s="21">
        <v>1</v>
      </c>
      <c r="H16" s="14">
        <v>2.5499999999999998</v>
      </c>
      <c r="I16" s="14">
        <v>25.6</v>
      </c>
      <c r="J16" s="14"/>
      <c r="K16" s="14">
        <v>19</v>
      </c>
      <c r="L16" s="14"/>
      <c r="M16" s="14"/>
      <c r="N16" s="14"/>
      <c r="O16" s="14"/>
      <c r="P16" s="14"/>
      <c r="Q16" s="14"/>
      <c r="R16" s="14">
        <v>6</v>
      </c>
    </row>
    <row r="17" spans="4:18" x14ac:dyDescent="0.25">
      <c r="D17" s="14" t="s">
        <v>44</v>
      </c>
      <c r="E17" s="16" t="s">
        <v>47</v>
      </c>
      <c r="F17" s="16" t="s">
        <v>30</v>
      </c>
      <c r="G17" s="21">
        <v>1</v>
      </c>
      <c r="H17" s="14">
        <v>2.2000000000000002</v>
      </c>
      <c r="I17" s="14">
        <v>20.3</v>
      </c>
      <c r="J17" s="14"/>
      <c r="K17" s="14">
        <v>15</v>
      </c>
      <c r="L17" s="14"/>
      <c r="M17" s="14"/>
      <c r="N17" s="14"/>
      <c r="O17" s="14"/>
      <c r="P17" s="14"/>
      <c r="Q17" s="14"/>
      <c r="R17" s="14">
        <v>5</v>
      </c>
    </row>
    <row r="18" spans="4:18" x14ac:dyDescent="0.25">
      <c r="D18" s="14" t="s">
        <v>48</v>
      </c>
      <c r="E18" s="16" t="s">
        <v>49</v>
      </c>
      <c r="F18" s="16" t="s">
        <v>30</v>
      </c>
      <c r="G18" s="21">
        <v>1</v>
      </c>
      <c r="H18" s="14">
        <v>2.2599999999999998</v>
      </c>
      <c r="I18" s="14">
        <v>20.3</v>
      </c>
      <c r="J18" s="14"/>
      <c r="K18" s="14">
        <v>15</v>
      </c>
      <c r="L18" s="14"/>
      <c r="M18" s="14"/>
      <c r="N18" s="14"/>
      <c r="O18" s="14"/>
      <c r="P18" s="14"/>
      <c r="Q18" s="14"/>
      <c r="R18" s="14">
        <v>5</v>
      </c>
    </row>
    <row r="19" spans="4:18" x14ac:dyDescent="0.25">
      <c r="H19">
        <f>SUM(H4:H18)</f>
        <v>43.073000000000008</v>
      </c>
      <c r="I19">
        <f t="shared" ref="I19:R19" si="0">SUM(I4:I18)</f>
        <v>273.11600000000004</v>
      </c>
      <c r="J19">
        <f t="shared" si="0"/>
        <v>5.22</v>
      </c>
      <c r="K19">
        <f t="shared" si="0"/>
        <v>97.593999999999994</v>
      </c>
      <c r="L19">
        <f t="shared" si="0"/>
        <v>99.09190000000001</v>
      </c>
      <c r="M19">
        <f t="shared" si="0"/>
        <v>13.770999999999999</v>
      </c>
      <c r="N19">
        <f t="shared" si="0"/>
        <v>14.978999999999999</v>
      </c>
      <c r="O19">
        <f t="shared" si="0"/>
        <v>3.3500000000000005</v>
      </c>
      <c r="P19">
        <f t="shared" si="0"/>
        <v>2.37</v>
      </c>
      <c r="Q19">
        <f t="shared" si="0"/>
        <v>83.436000000000007</v>
      </c>
      <c r="R19">
        <f t="shared" si="0"/>
        <v>22</v>
      </c>
    </row>
    <row r="20" spans="4:18" ht="105" x14ac:dyDescent="0.25">
      <c r="H20" s="18" t="s">
        <v>17</v>
      </c>
      <c r="I20" s="18" t="s">
        <v>18</v>
      </c>
      <c r="J20" s="18" t="s">
        <v>19</v>
      </c>
      <c r="K20" s="18" t="s">
        <v>20</v>
      </c>
      <c r="L20" s="18" t="s">
        <v>21</v>
      </c>
      <c r="M20" s="18" t="s">
        <v>22</v>
      </c>
      <c r="N20" s="18" t="s">
        <v>23</v>
      </c>
      <c r="O20" s="18" t="s">
        <v>24</v>
      </c>
      <c r="P20" s="18" t="s">
        <v>25</v>
      </c>
      <c r="Q20" s="18" t="s">
        <v>26</v>
      </c>
      <c r="R20" s="18" t="s">
        <v>27</v>
      </c>
    </row>
    <row r="24" spans="4:18" x14ac:dyDescent="0.25">
      <c r="H24" s="59" t="s">
        <v>50</v>
      </c>
      <c r="I24" s="59"/>
      <c r="J24" s="59"/>
      <c r="K24" s="59"/>
      <c r="L24" s="59"/>
      <c r="M24" s="59"/>
      <c r="N24" s="59"/>
    </row>
    <row r="25" spans="4:18" x14ac:dyDescent="0.25">
      <c r="H25" s="14" t="s">
        <v>52</v>
      </c>
      <c r="I25" s="14" t="s">
        <v>53</v>
      </c>
      <c r="J25" s="14" t="s">
        <v>54</v>
      </c>
      <c r="K25" s="14" t="s">
        <v>55</v>
      </c>
      <c r="L25" s="14" t="s">
        <v>8</v>
      </c>
      <c r="M25" s="14" t="s">
        <v>56</v>
      </c>
      <c r="N25" s="14" t="s">
        <v>57</v>
      </c>
    </row>
    <row r="26" spans="4:18" x14ac:dyDescent="0.25">
      <c r="H26" s="14" t="s">
        <v>51</v>
      </c>
      <c r="I26" s="14">
        <v>2.5</v>
      </c>
      <c r="J26" s="14">
        <v>1</v>
      </c>
      <c r="K26" s="14">
        <v>0.5</v>
      </c>
      <c r="L26" s="14">
        <v>105.22</v>
      </c>
      <c r="M26" s="14">
        <f>1.5*L26</f>
        <v>157.82999999999998</v>
      </c>
      <c r="N26" s="14">
        <f>3.9142*0.4*L26</f>
        <v>164.74084960000002</v>
      </c>
    </row>
    <row r="27" spans="4:18" x14ac:dyDescent="0.25">
      <c r="H27" s="14" t="s">
        <v>58</v>
      </c>
      <c r="I27" s="14">
        <v>4</v>
      </c>
      <c r="J27" s="14">
        <v>2</v>
      </c>
      <c r="K27" s="14">
        <v>0.5</v>
      </c>
      <c r="L27" s="14">
        <v>10</v>
      </c>
      <c r="M27" s="14">
        <f>2.5*L27</f>
        <v>25</v>
      </c>
      <c r="N27" s="14">
        <f>6.2361*0.4*L27</f>
        <v>24.944400000000005</v>
      </c>
    </row>
    <row r="28" spans="4:18" x14ac:dyDescent="0.25">
      <c r="H28" s="14" t="s">
        <v>59</v>
      </c>
      <c r="I28" s="14">
        <v>2</v>
      </c>
      <c r="J28" s="14">
        <v>1</v>
      </c>
      <c r="K28" s="14">
        <v>0.5</v>
      </c>
      <c r="L28" s="14">
        <v>81.47</v>
      </c>
      <c r="M28" s="14">
        <f>1.25*L28</f>
        <v>101.83750000000001</v>
      </c>
      <c r="N28" s="14">
        <f>3.4142*0.4*L28</f>
        <v>111.26194960000002</v>
      </c>
    </row>
    <row r="29" spans="4:18" x14ac:dyDescent="0.25">
      <c r="L29">
        <f>SUM(L26:L28)</f>
        <v>196.69</v>
      </c>
      <c r="M29">
        <f t="shared" ref="M29:N29" si="1">SUM(M26:M28)</f>
        <v>284.66750000000002</v>
      </c>
      <c r="N29">
        <f t="shared" si="1"/>
        <v>300.94719920000006</v>
      </c>
    </row>
    <row r="32" spans="4:18" x14ac:dyDescent="0.25">
      <c r="H32" t="s">
        <v>60</v>
      </c>
    </row>
    <row r="33" spans="7:9" x14ac:dyDescent="0.25">
      <c r="G33" t="s">
        <v>12</v>
      </c>
      <c r="H33">
        <f>((16*16)-(8*8))*2</f>
        <v>384</v>
      </c>
      <c r="I33" t="s">
        <v>61</v>
      </c>
    </row>
    <row r="34" spans="7:9" x14ac:dyDescent="0.25">
      <c r="G34" t="s">
        <v>57</v>
      </c>
      <c r="H34">
        <f>33.2982*12*0.4</f>
        <v>159.83136000000002</v>
      </c>
      <c r="I34" t="s">
        <v>62</v>
      </c>
    </row>
  </sheetData>
  <mergeCells count="1">
    <mergeCell ref="H24:N2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CRONOGRAMA</vt:lpstr>
      <vt:lpstr>Plan1</vt:lpstr>
      <vt:lpstr>CRONOGRAMA!Area_de_impressao</vt:lpstr>
      <vt:lpstr>CRONOGRAMA!Titulos_de_impressao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Silva</dc:creator>
  <cp:lastModifiedBy>JULIA BUSTAMANTE DONATI</cp:lastModifiedBy>
  <cp:lastPrinted>2018-08-23T14:18:34Z</cp:lastPrinted>
  <dcterms:created xsi:type="dcterms:W3CDTF">2016-11-16T21:26:51Z</dcterms:created>
  <dcterms:modified xsi:type="dcterms:W3CDTF">2018-10-29T19:13:13Z</dcterms:modified>
</cp:coreProperties>
</file>